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1"/>
  </bookViews>
  <sheets>
    <sheet name="Data" sheetId="1" r:id="rId1"/>
    <sheet name="Mark 8a" sheetId="2" r:id="rId2"/>
    <sheet name="Prices" sheetId="3" r:id="rId3"/>
  </sheets>
  <definedNames>
    <definedName name="Angle_height">'Data'!$E$35</definedName>
    <definedName name="Angle_thick">'Data'!$E$38</definedName>
    <definedName name="Angle_width">'Data'!$E$32</definedName>
    <definedName name="Bar">'Data'!$E$53</definedName>
    <definedName name="Brick_height">'Data'!$E$14</definedName>
    <definedName name="Brick_length">'Data'!$E$8</definedName>
    <definedName name="Brick_width">'Data'!$E$11</definedName>
    <definedName name="Chan_height">'Data'!$E$25</definedName>
    <definedName name="Chan_thick">'Data'!$E$28</definedName>
    <definedName name="Chan_width">'Data'!$E$22</definedName>
    <definedName name="Chim_diam">'Data'!$E$46</definedName>
    <definedName name="Chim_Tick">'Data'!$E$49</definedName>
    <definedName name="Mortar">'Data'!$E$18</definedName>
    <definedName name="_xlnm.Print_Area" localSheetId="0">'Data'!$A$1:$F$54</definedName>
    <definedName name="_xlnm.Print_Area" localSheetId="1">'Mark 8a'!$A$1:$K$51</definedName>
    <definedName name="Sheet_thick">'Data'!$E$42</definedName>
    <definedName name="Units_in">'Data'!$C$2</definedName>
    <definedName name="Units_out">'Data'!$C$4</definedName>
  </definedNames>
  <calcPr fullCalcOnLoad="1"/>
</workbook>
</file>

<file path=xl/sharedStrings.xml><?xml version="1.0" encoding="utf-8"?>
<sst xmlns="http://schemas.openxmlformats.org/spreadsheetml/2006/main" count="178" uniqueCount="125">
  <si>
    <t>Fire bricks</t>
  </si>
  <si>
    <t>Item</t>
  </si>
  <si>
    <t>rolled steel channel</t>
  </si>
  <si>
    <t>rolled steel angle</t>
  </si>
  <si>
    <t>Brick size</t>
  </si>
  <si>
    <t>length</t>
  </si>
  <si>
    <t>width</t>
  </si>
  <si>
    <t>height</t>
  </si>
  <si>
    <t>Mortar joint spacing</t>
  </si>
  <si>
    <t>A</t>
  </si>
  <si>
    <t>B</t>
  </si>
  <si>
    <t>C</t>
  </si>
  <si>
    <t>Thickness</t>
  </si>
  <si>
    <t>Quantity</t>
  </si>
  <si>
    <t>All measurements are in:</t>
  </si>
  <si>
    <t>Length</t>
  </si>
  <si>
    <t>Height</t>
  </si>
  <si>
    <t>Width</t>
  </si>
  <si>
    <t xml:space="preserve">Total </t>
  </si>
  <si>
    <t>Distance</t>
  </si>
  <si>
    <t>Tickness</t>
  </si>
  <si>
    <t>Metal sheet</t>
  </si>
  <si>
    <t>D</t>
  </si>
  <si>
    <t>E</t>
  </si>
  <si>
    <t>Ash door</t>
  </si>
  <si>
    <t>Ash tunnel wall</t>
  </si>
  <si>
    <t>Ash tunnel top &amp; bottom</t>
  </si>
  <si>
    <t>Loading door cover</t>
  </si>
  <si>
    <t>Chimney support cover</t>
  </si>
  <si>
    <t>Ash tunnel front top edge</t>
  </si>
  <si>
    <t>Ash tunnel front wall edge</t>
  </si>
  <si>
    <t>Loading door handel</t>
  </si>
  <si>
    <t>Diameter</t>
  </si>
  <si>
    <t>Loading door support frame</t>
  </si>
  <si>
    <t>Chimney support frame</t>
  </si>
  <si>
    <t>Sides support frames</t>
  </si>
  <si>
    <t>Sides for covers</t>
  </si>
  <si>
    <t>Description</t>
  </si>
  <si>
    <t>F</t>
  </si>
  <si>
    <t>G</t>
  </si>
  <si>
    <t>H</t>
  </si>
  <si>
    <t>I</t>
  </si>
  <si>
    <t>J</t>
  </si>
  <si>
    <t>Length 2</t>
  </si>
  <si>
    <t>Frame positioners</t>
  </si>
  <si>
    <t xml:space="preserve">Loading door handel support </t>
  </si>
  <si>
    <t>K</t>
  </si>
  <si>
    <t>L</t>
  </si>
  <si>
    <t>Length 3</t>
  </si>
  <si>
    <t>Length(1)</t>
  </si>
  <si>
    <t>Steel sheets</t>
  </si>
  <si>
    <t>Length (1)</t>
  </si>
  <si>
    <t>M</t>
  </si>
  <si>
    <t>N</t>
  </si>
  <si>
    <t>O</t>
  </si>
  <si>
    <t>P</t>
  </si>
  <si>
    <t>Scraper</t>
  </si>
  <si>
    <t>Poke</t>
  </si>
  <si>
    <t>Q</t>
  </si>
  <si>
    <t>R</t>
  </si>
  <si>
    <t>S</t>
  </si>
  <si>
    <t>T</t>
  </si>
  <si>
    <t>Concrete reinforcement bar</t>
  </si>
  <si>
    <t>Total</t>
  </si>
  <si>
    <t>Bars</t>
  </si>
  <si>
    <t>Fire grid bar horizontal</t>
  </si>
  <si>
    <t xml:space="preserve">Fire grid bar diagonal </t>
  </si>
  <si>
    <t>TOTAL</t>
  </si>
  <si>
    <t>Material / Labour</t>
  </si>
  <si>
    <t>Standard weight/ size</t>
  </si>
  <si>
    <t>(length *height * width, thickness)</t>
  </si>
  <si>
    <t>Remarks / addresses</t>
  </si>
  <si>
    <t>Fire cement bag of 25 kg</t>
  </si>
  <si>
    <t>Fire clay bag of 50 kg</t>
  </si>
  <si>
    <t>Rolled (mild) steel channel</t>
  </si>
  <si>
    <t>Rolled (mild) steel angle</t>
  </si>
  <si>
    <t>Steel (mild) sheet</t>
  </si>
  <si>
    <t>Zinc-iron (chimney) pipe, threaded on both sides</t>
  </si>
  <si>
    <t>Pipe socket for spigot</t>
  </si>
  <si>
    <t>Pipe socket chimney</t>
  </si>
  <si>
    <t xml:space="preserve">Sheet for chimney cover </t>
  </si>
  <si>
    <t>3ft * 4 ft</t>
  </si>
  <si>
    <t>Boots</t>
  </si>
  <si>
    <t>Goggles</t>
  </si>
  <si>
    <t>Gloves</t>
  </si>
  <si>
    <t>Apron</t>
  </si>
  <si>
    <t>Labour metal work</t>
  </si>
  <si>
    <t>Labour brick work</t>
  </si>
  <si>
    <t>Transport charges</t>
  </si>
  <si>
    <t>Construction site was in Yangon.</t>
  </si>
  <si>
    <t>TOTAL COSTS INCINERATOR</t>
  </si>
  <si>
    <t>25 kg bag</t>
  </si>
  <si>
    <t>50 kg bag</t>
  </si>
  <si>
    <t>Pair</t>
  </si>
  <si>
    <t>Pieces</t>
  </si>
  <si>
    <t>Each</t>
  </si>
  <si>
    <t>No. 47, 48, 23 First floor, Iron plaza Lanmadaw T/S. Ph: 212066 ext 300, 703617</t>
  </si>
  <si>
    <t>Various chargers</t>
  </si>
  <si>
    <t xml:space="preserve">Cutting of materials for transport, small items like hinges, bolts and nuts etc. </t>
  </si>
  <si>
    <t>U Kyaw Hlaing and Son, Building No. 60, Room 7, Saw Bwar Gyi Gone, Insein T/S, Yangon  Ph: 246640, 284831, 09-27474</t>
  </si>
  <si>
    <t>Sahee enterprise Co. Ltd. Building No. 24, Room 7/8, Saw Bwar Gyi Gone Pwe Yone Tan, Insein T/S, Yangon Ph: 642662, 726330, 09-5007648</t>
  </si>
  <si>
    <t>Shwe Zinyaw, building No. 10, Room 8, 5th str., Saw Bwar Gyi Gone, Insein T/S, Yangon. Ph: 642122 ext: 155</t>
  </si>
  <si>
    <t>Three Diamonds, Building N0. 14, Romm No. 4/5/6, Padamya 7th str., Saw Bwar Gyi Gone, Insein T/S, Yangon. Ph: 643898, 640291, 09-9924577, 09-8031316</t>
  </si>
  <si>
    <t>Great Star Enterprise, No. 150(b) Anawrahta rd, corner of 51st Str., Pazudaung T/S Yangon. Ph: 70058 or 287239</t>
  </si>
  <si>
    <t>22 in * 11 in * 7 in</t>
  </si>
  <si>
    <t>20 ft * 2 in * 4 in, 0.2 in</t>
  </si>
  <si>
    <t>20 ft * 1.2 in * 1.2 in, 0.12 in</t>
  </si>
  <si>
    <t>8 ft * 4 ft, 0.1 in</t>
  </si>
  <si>
    <t>40 ft, 0.5 in diameter</t>
  </si>
  <si>
    <t>19 ft,  4 in diameter</t>
  </si>
  <si>
    <t>3 in diameter</t>
  </si>
  <si>
    <t>4 in diameter</t>
  </si>
  <si>
    <t>Qty.</t>
  </si>
  <si>
    <t>Enter here the measurements of the separate metal components</t>
  </si>
  <si>
    <t xml:space="preserve">Rolled steel angle </t>
  </si>
  <si>
    <t xml:space="preserve">Rolled steel channel </t>
  </si>
  <si>
    <t>Chimney pipe</t>
  </si>
  <si>
    <r>
      <t xml:space="preserve">Select which units you will use to </t>
    </r>
    <r>
      <rPr>
        <b/>
        <i/>
        <sz val="10"/>
        <rFont val="Arial"/>
        <family val="2"/>
      </rPr>
      <t>enter</t>
    </r>
    <r>
      <rPr>
        <b/>
        <sz val="10"/>
        <rFont val="Arial"/>
        <family val="2"/>
      </rPr>
      <t xml:space="preserve"> the measurements.</t>
    </r>
  </si>
  <si>
    <r>
      <t xml:space="preserve">Select in which units you want the </t>
    </r>
    <r>
      <rPr>
        <b/>
        <i/>
        <sz val="10"/>
        <rFont val="Arial"/>
        <family val="2"/>
      </rPr>
      <t>outcome</t>
    </r>
  </si>
  <si>
    <t>Units</t>
  </si>
  <si>
    <t>IN</t>
  </si>
  <si>
    <t>OUT</t>
  </si>
  <si>
    <t>Price in</t>
  </si>
  <si>
    <t>Fill in local prices</t>
  </si>
  <si>
    <t>Fill in local addresses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</si>
</sst>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[$-809]dd\ mmmm\ yyyy"/>
    <numFmt numFmtId="188" formatCode="0.0000000"/>
    <numFmt numFmtId="189" formatCode="0.000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85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85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1" fillId="0" borderId="9" xfId="0" applyNumberFormat="1" applyFont="1" applyBorder="1" applyAlignment="1">
      <alignment horizontal="right"/>
    </xf>
    <xf numFmtId="0" fontId="4" fillId="0" borderId="0" xfId="20" applyAlignment="1">
      <alignment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 indent="1"/>
    </xf>
    <xf numFmtId="0" fontId="8" fillId="2" borderId="10" xfId="0" applyFont="1" applyFill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wrapText="1"/>
    </xf>
    <xf numFmtId="0" fontId="10" fillId="0" borderId="9" xfId="0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 indent="1"/>
    </xf>
    <xf numFmtId="0" fontId="9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85" fontId="1" fillId="0" borderId="14" xfId="0" applyNumberFormat="1" applyFont="1" applyBorder="1" applyAlignment="1">
      <alignment horizontal="right"/>
    </xf>
    <xf numFmtId="185" fontId="1" fillId="0" borderId="11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84" fontId="0" fillId="2" borderId="2" xfId="0" applyNumberFormat="1" applyFill="1" applyBorder="1" applyAlignment="1">
      <alignment horizontal="center"/>
    </xf>
    <xf numFmtId="184" fontId="0" fillId="2" borderId="1" xfId="0" applyNumberFormat="1" applyFill="1" applyBorder="1" applyAlignment="1">
      <alignment horizontal="center"/>
    </xf>
    <xf numFmtId="185" fontId="0" fillId="2" borderId="1" xfId="0" applyNumberFormat="1" applyFill="1" applyBorder="1" applyAlignment="1">
      <alignment horizontal="center"/>
    </xf>
    <xf numFmtId="185" fontId="0" fillId="2" borderId="1" xfId="0" applyNumberFormat="1" applyFill="1" applyBorder="1" applyAlignment="1">
      <alignment/>
    </xf>
    <xf numFmtId="185" fontId="0" fillId="2" borderId="2" xfId="0" applyNumberFormat="1" applyFill="1" applyBorder="1" applyAlignment="1">
      <alignment horizontal="center"/>
    </xf>
    <xf numFmtId="0" fontId="10" fillId="3" borderId="11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 indent="1"/>
    </xf>
    <xf numFmtId="0" fontId="10" fillId="3" borderId="14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right" vertical="center" wrapText="1" inden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24" xfId="0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26" xfId="0" applyFont="1" applyFill="1" applyBorder="1" applyAlignment="1">
      <alignment vertical="center" wrapText="1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/>
    </xf>
    <xf numFmtId="0" fontId="1" fillId="4" borderId="19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1" fillId="4" borderId="27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/>
    </xf>
    <xf numFmtId="185" fontId="0" fillId="4" borderId="1" xfId="0" applyNumberFormat="1" applyFill="1" applyBorder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" fontId="1" fillId="0" borderId="1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4" fillId="4" borderId="2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0" applyFont="1" applyAlignment="1">
      <alignment/>
    </xf>
    <xf numFmtId="0" fontId="1" fillId="4" borderId="19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4" borderId="0" xfId="0" applyFill="1" applyBorder="1" applyAlignment="1">
      <alignment/>
    </xf>
    <xf numFmtId="0" fontId="11" fillId="4" borderId="24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vertical="center" wrapText="1"/>
    </xf>
    <xf numFmtId="0" fontId="10" fillId="3" borderId="36" xfId="0" applyFont="1" applyFill="1" applyBorder="1" applyAlignment="1">
      <alignment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3.wmf" /><Relationship Id="rId4" Type="http://schemas.openxmlformats.org/officeDocument/2006/relationships/image" Target="../media/image1.wmf" /><Relationship Id="rId5" Type="http://schemas.openxmlformats.org/officeDocument/2006/relationships/image" Target="../media/image15.wmf" /><Relationship Id="rId6" Type="http://schemas.openxmlformats.org/officeDocument/2006/relationships/image" Target="../media/image8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Relationship Id="rId2" Type="http://schemas.openxmlformats.org/officeDocument/2006/relationships/image" Target="../media/image16.wmf" /><Relationship Id="rId3" Type="http://schemas.openxmlformats.org/officeDocument/2006/relationships/image" Target="../media/image17.wmf" /><Relationship Id="rId4" Type="http://schemas.openxmlformats.org/officeDocument/2006/relationships/image" Target="../media/image4.wmf" /><Relationship Id="rId5" Type="http://schemas.openxmlformats.org/officeDocument/2006/relationships/image" Target="../media/image6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3.wmf" /><Relationship Id="rId9" Type="http://schemas.openxmlformats.org/officeDocument/2006/relationships/image" Target="../media/image2.wmf" /><Relationship Id="rId10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3</xdr:col>
      <xdr:colOff>219075</xdr:colOff>
      <xdr:row>1</xdr:row>
      <xdr:rowOff>638175</xdr:rowOff>
    </xdr:to>
    <xdr:grpSp>
      <xdr:nvGrpSpPr>
        <xdr:cNvPr id="1" name="Group 43"/>
        <xdr:cNvGrpSpPr>
          <a:grpSpLocks/>
        </xdr:cNvGrpSpPr>
      </xdr:nvGrpSpPr>
      <xdr:grpSpPr>
        <a:xfrm>
          <a:off x="1609725" y="447675"/>
          <a:ext cx="923925" cy="628650"/>
          <a:chOff x="157" y="36"/>
          <a:chExt cx="91" cy="50"/>
        </a:xfrm>
        <a:solidFill>
          <a:srgbClr val="FFFFFF"/>
        </a:solidFill>
      </xdr:grpSpPr>
      <xdr:pic>
        <xdr:nvPicPr>
          <xdr:cNvPr id="2" name="Metric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57" y="36"/>
            <a:ext cx="91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US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57" y="59"/>
            <a:ext cx="91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1257300</xdr:colOff>
      <xdr:row>28</xdr:row>
      <xdr:rowOff>0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576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31</xdr:row>
      <xdr:rowOff>38100</xdr:rowOff>
    </xdr:from>
    <xdr:to>
      <xdr:col>1</xdr:col>
      <xdr:colOff>1343025</xdr:colOff>
      <xdr:row>38</xdr:row>
      <xdr:rowOff>0</xdr:rowOff>
    </xdr:to>
    <xdr:pic>
      <xdr:nvPicPr>
        <xdr:cNvPr id="5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057775"/>
          <a:ext cx="1276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161925</xdr:rowOff>
    </xdr:from>
    <xdr:to>
      <xdr:col>1</xdr:col>
      <xdr:colOff>1333500</xdr:colOff>
      <xdr:row>13</xdr:row>
      <xdr:rowOff>123825</xdr:rowOff>
    </xdr:to>
    <xdr:pic>
      <xdr:nvPicPr>
        <xdr:cNvPr id="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2333625"/>
          <a:ext cx="1247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3</xdr:row>
      <xdr:rowOff>9525</xdr:rowOff>
    </xdr:from>
    <xdr:to>
      <xdr:col>3</xdr:col>
      <xdr:colOff>209550</xdr:colOff>
      <xdr:row>3</xdr:row>
      <xdr:rowOff>647700</xdr:rowOff>
    </xdr:to>
    <xdr:grpSp>
      <xdr:nvGrpSpPr>
        <xdr:cNvPr id="7" name="Group 63"/>
        <xdr:cNvGrpSpPr>
          <a:grpSpLocks/>
        </xdr:cNvGrpSpPr>
      </xdr:nvGrpSpPr>
      <xdr:grpSpPr>
        <a:xfrm>
          <a:off x="1600200" y="1143000"/>
          <a:ext cx="923925" cy="638175"/>
          <a:chOff x="157" y="36"/>
          <a:chExt cx="87" cy="50"/>
        </a:xfrm>
        <a:solidFill>
          <a:srgbClr val="FFFFFF"/>
        </a:solidFill>
      </xdr:grpSpPr>
      <xdr:pic>
        <xdr:nvPicPr>
          <xdr:cNvPr id="8" name="OptionButton5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157" y="36"/>
            <a:ext cx="8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OptionButton6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157" y="59"/>
            <a:ext cx="87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10</xdr:col>
      <xdr:colOff>495300</xdr:colOff>
      <xdr:row>3</xdr:row>
      <xdr:rowOff>1857375</xdr:rowOff>
    </xdr:to>
    <xdr:pic>
      <xdr:nvPicPr>
        <xdr:cNvPr id="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76300"/>
          <a:ext cx="79438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</xdr:row>
      <xdr:rowOff>47625</xdr:rowOff>
    </xdr:from>
    <xdr:to>
      <xdr:col>10</xdr:col>
      <xdr:colOff>485775</xdr:colOff>
      <xdr:row>12</xdr:row>
      <xdr:rowOff>1533525</xdr:rowOff>
    </xdr:to>
    <xdr:pic>
      <xdr:nvPicPr>
        <xdr:cNvPr id="2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629150"/>
          <a:ext cx="7915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104775</xdr:rowOff>
    </xdr:from>
    <xdr:to>
      <xdr:col>10</xdr:col>
      <xdr:colOff>428625</xdr:colOff>
      <xdr:row>13</xdr:row>
      <xdr:rowOff>1524000</xdr:rowOff>
    </xdr:to>
    <xdr:pic>
      <xdr:nvPicPr>
        <xdr:cNvPr id="3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372225"/>
          <a:ext cx="78390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200025</xdr:rowOff>
    </xdr:from>
    <xdr:to>
      <xdr:col>10</xdr:col>
      <xdr:colOff>381000</xdr:colOff>
      <xdr:row>14</xdr:row>
      <xdr:rowOff>1209675</xdr:rowOff>
    </xdr:to>
    <xdr:pic>
      <xdr:nvPicPr>
        <xdr:cNvPr id="4" name="Picture 4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8124825"/>
          <a:ext cx="7791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15</xdr:row>
      <xdr:rowOff>133350</xdr:rowOff>
    </xdr:from>
    <xdr:to>
      <xdr:col>10</xdr:col>
      <xdr:colOff>495300</xdr:colOff>
      <xdr:row>15</xdr:row>
      <xdr:rowOff>1552575</xdr:rowOff>
    </xdr:to>
    <xdr:pic>
      <xdr:nvPicPr>
        <xdr:cNvPr id="5" name="Picture 4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9420225"/>
          <a:ext cx="7924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1057275</xdr:colOff>
      <xdr:row>29</xdr:row>
      <xdr:rowOff>19050</xdr:rowOff>
    </xdr:from>
    <xdr:to>
      <xdr:col>8</xdr:col>
      <xdr:colOff>76200</xdr:colOff>
      <xdr:row>29</xdr:row>
      <xdr:rowOff>1704975</xdr:rowOff>
    </xdr:to>
    <xdr:pic>
      <xdr:nvPicPr>
        <xdr:cNvPr id="6" name="Picture 4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13382625"/>
          <a:ext cx="50482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30</xdr:row>
      <xdr:rowOff>0</xdr:rowOff>
    </xdr:from>
    <xdr:to>
      <xdr:col>7</xdr:col>
      <xdr:colOff>533400</xdr:colOff>
      <xdr:row>31</xdr:row>
      <xdr:rowOff>19050</xdr:rowOff>
    </xdr:to>
    <xdr:pic>
      <xdr:nvPicPr>
        <xdr:cNvPr id="7" name="Picture 4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47825" y="15125700"/>
          <a:ext cx="4267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31</xdr:row>
      <xdr:rowOff>47625</xdr:rowOff>
    </xdr:from>
    <xdr:to>
      <xdr:col>7</xdr:col>
      <xdr:colOff>590550</xdr:colOff>
      <xdr:row>31</xdr:row>
      <xdr:rowOff>1381125</xdr:rowOff>
    </xdr:to>
    <xdr:pic>
      <xdr:nvPicPr>
        <xdr:cNvPr id="8" name="Picture 4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2550" y="16725900"/>
          <a:ext cx="4619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42</xdr:row>
      <xdr:rowOff>9525</xdr:rowOff>
    </xdr:from>
    <xdr:to>
      <xdr:col>9</xdr:col>
      <xdr:colOff>200025</xdr:colOff>
      <xdr:row>42</xdr:row>
      <xdr:rowOff>1600200</xdr:rowOff>
    </xdr:to>
    <xdr:pic>
      <xdr:nvPicPr>
        <xdr:cNvPr id="9" name="Picture 4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71575" y="20212050"/>
          <a:ext cx="5905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43</xdr:row>
      <xdr:rowOff>47625</xdr:rowOff>
    </xdr:from>
    <xdr:to>
      <xdr:col>9</xdr:col>
      <xdr:colOff>571500</xdr:colOff>
      <xdr:row>43</xdr:row>
      <xdr:rowOff>876300</xdr:rowOff>
    </xdr:to>
    <xdr:pic>
      <xdr:nvPicPr>
        <xdr:cNvPr id="10" name="Picture 4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21917025"/>
          <a:ext cx="6943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62"/>
  <sheetViews>
    <sheetView zoomScale="175" zoomScaleNormal="175" workbookViewId="0" topLeftCell="A4">
      <selection activeCell="C19" sqref="C19"/>
    </sheetView>
  </sheetViews>
  <sheetFormatPr defaultColWidth="9.140625" defaultRowHeight="12.75"/>
  <cols>
    <col min="1" max="1" width="2.421875" style="71" customWidth="1"/>
    <col min="2" max="2" width="21.7109375" style="71" customWidth="1"/>
    <col min="3" max="3" width="10.57421875" style="71" customWidth="1"/>
    <col min="4" max="4" width="6.140625" style="71" customWidth="1"/>
    <col min="5" max="5" width="10.57421875" style="71" bestFit="1" customWidth="1"/>
    <col min="6" max="6" width="7.140625" style="71" customWidth="1"/>
    <col min="7" max="7" width="8.00390625" style="71" customWidth="1"/>
    <col min="8" max="8" width="9.140625" style="71" customWidth="1"/>
    <col min="9" max="9" width="8.00390625" style="71" customWidth="1"/>
    <col min="10" max="10" width="9.140625" style="71" customWidth="1"/>
    <col min="11" max="11" width="8.00390625" style="77" customWidth="1"/>
    <col min="12" max="16384" width="9.140625" style="71" customWidth="1"/>
  </cols>
  <sheetData>
    <row r="1" spans="2:11" ht="34.5" customHeight="1">
      <c r="B1" s="116" t="s">
        <v>113</v>
      </c>
      <c r="C1" s="116"/>
      <c r="D1" s="116"/>
      <c r="E1" s="116"/>
      <c r="F1" s="116"/>
      <c r="G1" s="96"/>
      <c r="H1" s="96"/>
      <c r="I1" s="96"/>
      <c r="J1" s="96"/>
      <c r="K1" s="96"/>
    </row>
    <row r="2" spans="2:11" ht="51" customHeight="1">
      <c r="B2" s="87" t="s">
        <v>117</v>
      </c>
      <c r="C2" s="88" t="b">
        <v>1</v>
      </c>
      <c r="D2" s="93"/>
      <c r="E2" s="88"/>
      <c r="F2" s="89"/>
      <c r="G2" s="77"/>
      <c r="H2" s="115"/>
      <c r="I2" s="115"/>
      <c r="J2" s="115"/>
      <c r="K2" s="115"/>
    </row>
    <row r="3" spans="2:7" ht="3.75" customHeight="1">
      <c r="B3" s="77"/>
      <c r="C3" s="77"/>
      <c r="D3" s="77"/>
      <c r="E3" s="77"/>
      <c r="F3" s="77"/>
      <c r="G3" s="77"/>
    </row>
    <row r="4" spans="2:11" ht="51.75" customHeight="1">
      <c r="B4" s="87" t="s">
        <v>118</v>
      </c>
      <c r="C4" s="88" t="b">
        <v>0</v>
      </c>
      <c r="D4" s="93"/>
      <c r="E4" s="88"/>
      <c r="F4" s="89"/>
      <c r="G4" s="77"/>
      <c r="H4" s="115"/>
      <c r="I4" s="115"/>
      <c r="J4" s="115"/>
      <c r="K4" s="115"/>
    </row>
    <row r="5" spans="2:7" ht="3.75" customHeight="1">
      <c r="B5" s="77"/>
      <c r="C5" s="77"/>
      <c r="D5" s="77"/>
      <c r="E5" s="77"/>
      <c r="F5" s="77"/>
      <c r="G5" s="77"/>
    </row>
    <row r="6" spans="2:7" ht="12.75" customHeight="1">
      <c r="B6" s="77"/>
      <c r="C6" s="105" t="s">
        <v>120</v>
      </c>
      <c r="D6" s="77" t="s">
        <v>119</v>
      </c>
      <c r="E6" s="105" t="s">
        <v>121</v>
      </c>
      <c r="F6" s="77" t="s">
        <v>119</v>
      </c>
      <c r="G6" s="77"/>
    </row>
    <row r="7" spans="2:7" ht="13.5" customHeight="1">
      <c r="B7" s="73" t="s">
        <v>4</v>
      </c>
      <c r="C7" s="102" t="s">
        <v>5</v>
      </c>
      <c r="D7" s="84"/>
      <c r="E7" s="102" t="s">
        <v>5</v>
      </c>
      <c r="F7" s="75"/>
      <c r="G7" s="79"/>
    </row>
    <row r="8" spans="2:7" ht="13.5" customHeight="1">
      <c r="B8" s="76"/>
      <c r="C8" s="92">
        <v>220</v>
      </c>
      <c r="D8" s="77" t="str">
        <f>IF($C$2=TRUE,"mm","Inch")</f>
        <v>mm</v>
      </c>
      <c r="E8" s="95">
        <f>IF(Units_out=Units_in,C8,IF(Units_in=FALSE,C8*25.4,C8/25.4))</f>
        <v>8.661417322834646</v>
      </c>
      <c r="F8" s="78" t="str">
        <f>IF($C$4=FALSE,"Inch","mm")</f>
        <v>Inch</v>
      </c>
      <c r="G8" s="77"/>
    </row>
    <row r="9" spans="2:7" ht="3.75" customHeight="1">
      <c r="B9" s="76"/>
      <c r="C9" s="77"/>
      <c r="D9" s="77"/>
      <c r="E9" s="77"/>
      <c r="F9" s="78"/>
      <c r="G9" s="77"/>
    </row>
    <row r="10" spans="2:7" ht="13.5" customHeight="1">
      <c r="B10" s="76"/>
      <c r="C10" s="103" t="s">
        <v>6</v>
      </c>
      <c r="D10" s="77"/>
      <c r="E10" s="103" t="s">
        <v>6</v>
      </c>
      <c r="F10" s="78"/>
      <c r="G10" s="77"/>
    </row>
    <row r="11" spans="2:7" ht="13.5" customHeight="1">
      <c r="B11" s="76"/>
      <c r="C11" s="92">
        <v>110</v>
      </c>
      <c r="D11" s="77" t="str">
        <f>IF($C$2=TRUE,"mm","Inch")</f>
        <v>mm</v>
      </c>
      <c r="E11" s="95">
        <f>IF(Units_out=Units_in,C11,IF(Units_in=FALSE,C11*25.4,C11/25.4))</f>
        <v>4.330708661417323</v>
      </c>
      <c r="F11" s="78" t="str">
        <f>IF($C$4=FALSE,"Inch","mm")</f>
        <v>Inch</v>
      </c>
      <c r="G11" s="77"/>
    </row>
    <row r="12" spans="2:7" ht="3.75" customHeight="1">
      <c r="B12" s="76"/>
      <c r="C12" s="77"/>
      <c r="D12" s="77"/>
      <c r="E12" s="77"/>
      <c r="F12" s="78"/>
      <c r="G12" s="77"/>
    </row>
    <row r="13" spans="2:7" ht="13.5" customHeight="1">
      <c r="B13" s="76"/>
      <c r="C13" s="103" t="s">
        <v>7</v>
      </c>
      <c r="D13" s="77"/>
      <c r="E13" s="103" t="s">
        <v>7</v>
      </c>
      <c r="F13" s="78"/>
      <c r="G13" s="77"/>
    </row>
    <row r="14" spans="2:7" ht="13.5" customHeight="1">
      <c r="B14" s="76"/>
      <c r="C14" s="92">
        <v>70</v>
      </c>
      <c r="D14" s="77" t="str">
        <f>IF($C$2=TRUE,"mm","Inch")</f>
        <v>mm</v>
      </c>
      <c r="E14" s="95">
        <f>IF(Units_out=Units_in,C14,IF(Units_in=FALSE,C14*25.4,C14/25.4))</f>
        <v>2.7559055118110236</v>
      </c>
      <c r="F14" s="78" t="str">
        <f>IF($C$4=FALSE,"Inch","mm")</f>
        <v>Inch</v>
      </c>
      <c r="G14" s="77"/>
    </row>
    <row r="15" spans="2:7" ht="3.75" customHeight="1">
      <c r="B15" s="80"/>
      <c r="C15" s="85"/>
      <c r="D15" s="85"/>
      <c r="E15" s="81"/>
      <c r="F15" s="82"/>
      <c r="G15" s="77"/>
    </row>
    <row r="16" spans="2:7" ht="3.75" customHeight="1">
      <c r="B16" s="86"/>
      <c r="C16" s="86"/>
      <c r="D16" s="86"/>
      <c r="E16" s="77"/>
      <c r="F16" s="77"/>
      <c r="G16" s="77"/>
    </row>
    <row r="17" spans="2:7" ht="16.5" customHeight="1">
      <c r="B17" s="73" t="s">
        <v>8</v>
      </c>
      <c r="C17" s="102" t="s">
        <v>19</v>
      </c>
      <c r="D17" s="94"/>
      <c r="E17" s="102" t="s">
        <v>19</v>
      </c>
      <c r="F17" s="75"/>
      <c r="G17" s="86"/>
    </row>
    <row r="18" spans="2:7" ht="12.75">
      <c r="B18" s="76"/>
      <c r="C18" s="92">
        <v>7</v>
      </c>
      <c r="D18" s="77" t="str">
        <f>IF($C$2=TRUE,"mm","Inch")</f>
        <v>mm</v>
      </c>
      <c r="E18" s="95">
        <f>IF(Units_out=Units_in,C18,IF(Units_in=FALSE,C18*25.4,C18/25.4))</f>
        <v>0.2755905511811024</v>
      </c>
      <c r="F18" s="78" t="str">
        <f>IF($C$4=FALSE,"Inch","mm")</f>
        <v>Inch</v>
      </c>
      <c r="G18" s="77"/>
    </row>
    <row r="19" spans="2:7" ht="3.75" customHeight="1">
      <c r="B19" s="80"/>
      <c r="C19" s="85"/>
      <c r="D19" s="85"/>
      <c r="E19" s="85"/>
      <c r="F19" s="82"/>
      <c r="G19" s="77"/>
    </row>
    <row r="20" spans="2:12" ht="3.75" customHeight="1">
      <c r="B20" s="77"/>
      <c r="C20" s="77"/>
      <c r="D20" s="77"/>
      <c r="G20" s="77"/>
      <c r="H20" s="77"/>
      <c r="I20" s="77"/>
      <c r="J20" s="77"/>
      <c r="L20" s="72"/>
    </row>
    <row r="21" spans="2:10" ht="13.5" customHeight="1">
      <c r="B21" s="90" t="s">
        <v>115</v>
      </c>
      <c r="C21" s="102" t="s">
        <v>6</v>
      </c>
      <c r="D21" s="74"/>
      <c r="E21" s="102" t="s">
        <v>6</v>
      </c>
      <c r="F21" s="75"/>
      <c r="G21" s="77"/>
      <c r="H21" s="77"/>
      <c r="I21" s="77"/>
      <c r="J21" s="77"/>
    </row>
    <row r="22" spans="2:10" ht="12.75">
      <c r="B22" s="91"/>
      <c r="C22" s="92">
        <v>100</v>
      </c>
      <c r="D22" s="77" t="str">
        <f>IF($C$2=TRUE,"mm","Inch")</f>
        <v>mm</v>
      </c>
      <c r="E22" s="95">
        <f>IF(Units_out=Units_in,C22,IF(Units_in=FALSE,C22*25.4,C22/25.4))</f>
        <v>3.937007874015748</v>
      </c>
      <c r="F22" s="78" t="str">
        <f>IF($C$4=FALSE,"Inch","mm")</f>
        <v>Inch</v>
      </c>
      <c r="G22" s="77"/>
      <c r="H22" s="77"/>
      <c r="I22" s="77"/>
      <c r="J22" s="77"/>
    </row>
    <row r="23" spans="2:10" ht="3.75" customHeight="1">
      <c r="B23" s="91"/>
      <c r="C23" s="77"/>
      <c r="D23" s="77"/>
      <c r="E23" s="77"/>
      <c r="F23" s="78"/>
      <c r="G23" s="77"/>
      <c r="H23" s="77"/>
      <c r="I23" s="77"/>
      <c r="J23" s="77"/>
    </row>
    <row r="24" spans="2:10" ht="12.75">
      <c r="B24" s="76"/>
      <c r="C24" s="103" t="s">
        <v>7</v>
      </c>
      <c r="D24" s="77"/>
      <c r="E24" s="103" t="s">
        <v>7</v>
      </c>
      <c r="F24" s="78"/>
      <c r="G24" s="77"/>
      <c r="H24" s="77"/>
      <c r="I24" s="77"/>
      <c r="J24" s="77"/>
    </row>
    <row r="25" spans="2:10" ht="12.75">
      <c r="B25" s="76"/>
      <c r="C25" s="92">
        <v>50</v>
      </c>
      <c r="D25" s="77" t="str">
        <f>IF($C$2=TRUE,"mm","Inch")</f>
        <v>mm</v>
      </c>
      <c r="E25" s="95">
        <f>IF(Units_out=Units_in,C25,IF(Units_in=FALSE,C25*25.4,C25/25.4))</f>
        <v>1.968503937007874</v>
      </c>
      <c r="F25" s="78" t="str">
        <f>IF($C$4=FALSE,"Inch","mm")</f>
        <v>Inch</v>
      </c>
      <c r="G25" s="77"/>
      <c r="H25" s="77"/>
      <c r="I25" s="77"/>
      <c r="J25" s="77"/>
    </row>
    <row r="26" spans="2:10" ht="3.75" customHeight="1">
      <c r="B26" s="76"/>
      <c r="C26" s="77"/>
      <c r="D26" s="77"/>
      <c r="E26" s="77"/>
      <c r="F26" s="78"/>
      <c r="G26" s="77"/>
      <c r="H26" s="77"/>
      <c r="I26" s="77"/>
      <c r="J26" s="77"/>
    </row>
    <row r="27" spans="2:10" ht="12.75">
      <c r="B27" s="76"/>
      <c r="C27" s="103" t="s">
        <v>20</v>
      </c>
      <c r="D27" s="77"/>
      <c r="E27" s="103" t="s">
        <v>20</v>
      </c>
      <c r="F27" s="78"/>
      <c r="G27" s="77"/>
      <c r="H27" s="77"/>
      <c r="I27" s="77"/>
      <c r="J27" s="77"/>
    </row>
    <row r="28" spans="2:10" ht="12.75">
      <c r="B28" s="76"/>
      <c r="C28" s="92">
        <v>5</v>
      </c>
      <c r="D28" s="77" t="str">
        <f>IF($C$2=TRUE,"mm","Inch")</f>
        <v>mm</v>
      </c>
      <c r="E28" s="95">
        <f>IF(Units_out=Units_in,C28,IF(Units_in=FALSE,C28*25.4,C28/25.4))</f>
        <v>0.1968503937007874</v>
      </c>
      <c r="F28" s="78" t="str">
        <f>IF($C$4=FALSE,"Inch","mm")</f>
        <v>Inch</v>
      </c>
      <c r="G28" s="77"/>
      <c r="H28" s="77"/>
      <c r="I28" s="77"/>
      <c r="J28" s="77"/>
    </row>
    <row r="29" spans="2:10" ht="3.75" customHeight="1">
      <c r="B29" s="80"/>
      <c r="C29" s="81"/>
      <c r="D29" s="85"/>
      <c r="E29" s="85"/>
      <c r="F29" s="82"/>
      <c r="G29" s="77"/>
      <c r="H29" s="77"/>
      <c r="I29" s="77"/>
      <c r="J29" s="77"/>
    </row>
    <row r="30" spans="2:10" ht="3.75" customHeight="1">
      <c r="B30" s="77"/>
      <c r="C30" s="77"/>
      <c r="D30" s="77"/>
      <c r="G30" s="77"/>
      <c r="H30" s="77"/>
      <c r="I30" s="77"/>
      <c r="J30" s="77"/>
    </row>
    <row r="31" spans="2:10" ht="12.75">
      <c r="B31" s="90" t="s">
        <v>114</v>
      </c>
      <c r="C31" s="102" t="s">
        <v>6</v>
      </c>
      <c r="D31" s="74"/>
      <c r="E31" s="102" t="s">
        <v>6</v>
      </c>
      <c r="F31" s="75"/>
      <c r="G31" s="77"/>
      <c r="H31" s="77"/>
      <c r="I31" s="77"/>
      <c r="J31" s="77"/>
    </row>
    <row r="32" spans="2:10" ht="12.75">
      <c r="B32" s="91"/>
      <c r="C32" s="92">
        <v>30</v>
      </c>
      <c r="D32" s="77" t="str">
        <f>IF($C$2=TRUE,"mm","Inch")</f>
        <v>mm</v>
      </c>
      <c r="E32" s="95">
        <f>IF(Units_out=Units_in,C32,IF(Units_in=FALSE,C32*25.4,C32/25.4))</f>
        <v>1.1811023622047245</v>
      </c>
      <c r="F32" s="78" t="str">
        <f>IF($C$4=FALSE,"Inch","mm")</f>
        <v>Inch</v>
      </c>
      <c r="G32" s="77"/>
      <c r="H32" s="77"/>
      <c r="I32" s="77"/>
      <c r="J32" s="77"/>
    </row>
    <row r="33" spans="2:10" ht="3.75" customHeight="1">
      <c r="B33" s="76"/>
      <c r="C33" s="77"/>
      <c r="D33" s="77"/>
      <c r="E33" s="77"/>
      <c r="F33" s="78"/>
      <c r="G33" s="77"/>
      <c r="H33" s="77"/>
      <c r="I33" s="77"/>
      <c r="J33" s="77"/>
    </row>
    <row r="34" spans="2:10" ht="12.75">
      <c r="B34" s="76"/>
      <c r="C34" s="103" t="s">
        <v>7</v>
      </c>
      <c r="D34" s="79"/>
      <c r="E34" s="103" t="s">
        <v>7</v>
      </c>
      <c r="F34" s="78"/>
      <c r="G34" s="79"/>
      <c r="H34" s="77"/>
      <c r="I34" s="77"/>
      <c r="J34" s="77"/>
    </row>
    <row r="35" spans="2:10" ht="12.75">
      <c r="B35" s="76"/>
      <c r="C35" s="92">
        <v>30</v>
      </c>
      <c r="D35" s="77" t="str">
        <f>IF($C$2=TRUE,"mm","Inch")</f>
        <v>mm</v>
      </c>
      <c r="E35" s="95">
        <f>IF(Units_out=Units_in,C35,IF(Units_in=FALSE,C35*25.4,C35/25.4))</f>
        <v>1.1811023622047245</v>
      </c>
      <c r="F35" s="78" t="str">
        <f>IF($C$4=FALSE,"Inch","mm")</f>
        <v>Inch</v>
      </c>
      <c r="G35" s="77"/>
      <c r="H35" s="77"/>
      <c r="I35" s="77"/>
      <c r="J35" s="77"/>
    </row>
    <row r="36" spans="2:10" ht="3.75" customHeight="1">
      <c r="B36" s="76"/>
      <c r="C36" s="77"/>
      <c r="D36" s="77"/>
      <c r="E36" s="77"/>
      <c r="F36" s="78"/>
      <c r="G36" s="77"/>
      <c r="H36" s="77"/>
      <c r="I36" s="77"/>
      <c r="J36" s="77"/>
    </row>
    <row r="37" spans="2:10" ht="12.75">
      <c r="B37" s="76"/>
      <c r="C37" s="103" t="s">
        <v>20</v>
      </c>
      <c r="D37" s="77"/>
      <c r="E37" s="103" t="s">
        <v>20</v>
      </c>
      <c r="F37" s="78"/>
      <c r="G37" s="77"/>
      <c r="H37" s="77"/>
      <c r="I37" s="77"/>
      <c r="J37" s="77"/>
    </row>
    <row r="38" spans="2:10" ht="12.75">
      <c r="B38" s="76"/>
      <c r="C38" s="92">
        <v>3</v>
      </c>
      <c r="D38" s="77" t="str">
        <f>IF($C$2=TRUE,"mm","Inch")</f>
        <v>mm</v>
      </c>
      <c r="E38" s="95">
        <f>IF(Units_out=Units_in,C38,IF(Units_in=FALSE,C38*25.4,C38/25.4))</f>
        <v>0.11811023622047245</v>
      </c>
      <c r="F38" s="78" t="str">
        <f>IF($C$4=FALSE,"Inch","mm")</f>
        <v>Inch</v>
      </c>
      <c r="G38" s="77"/>
      <c r="H38" s="77"/>
      <c r="I38" s="77"/>
      <c r="J38" s="77"/>
    </row>
    <row r="39" spans="2:10" ht="3.75" customHeight="1">
      <c r="B39" s="80"/>
      <c r="C39" s="81"/>
      <c r="D39" s="85"/>
      <c r="E39" s="85"/>
      <c r="F39" s="82"/>
      <c r="G39" s="77"/>
      <c r="H39" s="77"/>
      <c r="I39" s="77"/>
      <c r="J39" s="77"/>
    </row>
    <row r="40" spans="2:10" ht="3.75" customHeight="1">
      <c r="B40" s="77"/>
      <c r="C40" s="83"/>
      <c r="D40" s="77"/>
      <c r="E40" s="77"/>
      <c r="F40" s="77"/>
      <c r="G40" s="77"/>
      <c r="H40" s="77"/>
      <c r="I40" s="77"/>
      <c r="J40" s="77"/>
    </row>
    <row r="41" spans="2:10" ht="12.75">
      <c r="B41" s="73" t="s">
        <v>21</v>
      </c>
      <c r="C41" s="102" t="s">
        <v>20</v>
      </c>
      <c r="D41" s="84"/>
      <c r="E41" s="102" t="s">
        <v>20</v>
      </c>
      <c r="F41" s="75"/>
      <c r="G41" s="79"/>
      <c r="H41" s="77"/>
      <c r="I41" s="77"/>
      <c r="J41" s="77"/>
    </row>
    <row r="42" spans="2:10" ht="12.75">
      <c r="B42" s="76"/>
      <c r="C42" s="92">
        <v>3</v>
      </c>
      <c r="D42" s="77" t="str">
        <f>IF($C$2=TRUE,"mm","Inch")</f>
        <v>mm</v>
      </c>
      <c r="E42" s="95">
        <f>IF(Units_out=Units_in,C42,IF(Units_in=FALSE,C42*25.4,C42/25.4))</f>
        <v>0.11811023622047245</v>
      </c>
      <c r="F42" s="78" t="str">
        <f>IF($C$4=FALSE,"Inch","mm")</f>
        <v>Inch</v>
      </c>
      <c r="G42" s="77"/>
      <c r="H42" s="77"/>
      <c r="I42" s="77"/>
      <c r="J42" s="77"/>
    </row>
    <row r="43" spans="2:10" ht="3.75" customHeight="1">
      <c r="B43" s="80"/>
      <c r="C43" s="85"/>
      <c r="D43" s="85"/>
      <c r="E43" s="85"/>
      <c r="F43" s="82"/>
      <c r="G43" s="77"/>
      <c r="H43" s="77"/>
      <c r="I43" s="77"/>
      <c r="J43" s="77"/>
    </row>
    <row r="44" spans="2:10" ht="3.75" customHeight="1">
      <c r="B44" s="77"/>
      <c r="C44" s="77"/>
      <c r="D44" s="77"/>
      <c r="E44" s="77"/>
      <c r="F44" s="77"/>
      <c r="G44" s="77"/>
      <c r="H44" s="77"/>
      <c r="I44" s="77"/>
      <c r="J44" s="77"/>
    </row>
    <row r="45" spans="2:10" ht="12.75">
      <c r="B45" s="73" t="s">
        <v>116</v>
      </c>
      <c r="C45" s="102" t="s">
        <v>32</v>
      </c>
      <c r="D45" s="84"/>
      <c r="E45" s="102" t="s">
        <v>32</v>
      </c>
      <c r="F45" s="75"/>
      <c r="G45" s="79"/>
      <c r="H45" s="77"/>
      <c r="I45" s="77"/>
      <c r="J45" s="77"/>
    </row>
    <row r="46" spans="2:10" ht="12.75">
      <c r="B46" s="76"/>
      <c r="C46" s="92">
        <v>100</v>
      </c>
      <c r="D46" s="77" t="str">
        <f>IF($C$2=TRUE,"mm","Inch")</f>
        <v>mm</v>
      </c>
      <c r="E46" s="95">
        <f>IF(Units_out=Units_in,C46,IF(Units_in=FALSE,C46*25.4,C46/25.4))</f>
        <v>3.937007874015748</v>
      </c>
      <c r="F46" s="78" t="str">
        <f>IF($C$4=FALSE,"Inch","mm")</f>
        <v>Inch</v>
      </c>
      <c r="G46" s="77"/>
      <c r="H46" s="77"/>
      <c r="I46" s="77"/>
      <c r="J46" s="77"/>
    </row>
    <row r="47" spans="2:10" ht="3.75" customHeight="1">
      <c r="B47" s="76"/>
      <c r="C47" s="77"/>
      <c r="D47" s="77"/>
      <c r="E47" s="77"/>
      <c r="F47" s="78"/>
      <c r="G47" s="77"/>
      <c r="H47" s="77"/>
      <c r="I47" s="77"/>
      <c r="J47" s="77"/>
    </row>
    <row r="48" spans="2:10" ht="12.75">
      <c r="B48" s="76"/>
      <c r="C48" s="103" t="s">
        <v>20</v>
      </c>
      <c r="D48" s="79"/>
      <c r="E48" s="103" t="s">
        <v>20</v>
      </c>
      <c r="F48" s="78"/>
      <c r="G48" s="79"/>
      <c r="H48" s="77"/>
      <c r="I48" s="77"/>
      <c r="J48" s="77"/>
    </row>
    <row r="49" spans="2:10" ht="12.75">
      <c r="B49" s="76"/>
      <c r="C49" s="92">
        <v>3</v>
      </c>
      <c r="D49" s="77" t="str">
        <f>IF($C$2=TRUE,"mm","Inch")</f>
        <v>mm</v>
      </c>
      <c r="E49" s="95">
        <f>IF(Units_out=Units_in,C49,IF(Units_in=FALSE,C49*25.4,C49/25.4))</f>
        <v>0.11811023622047245</v>
      </c>
      <c r="F49" s="78" t="str">
        <f>IF($C$4=FALSE,"Inch","mm")</f>
        <v>Inch</v>
      </c>
      <c r="G49" s="77"/>
      <c r="H49" s="77"/>
      <c r="I49" s="77"/>
      <c r="J49" s="77"/>
    </row>
    <row r="50" spans="2:10" ht="3.75" customHeight="1">
      <c r="B50" s="80"/>
      <c r="C50" s="81"/>
      <c r="D50" s="85"/>
      <c r="E50" s="85"/>
      <c r="F50" s="82"/>
      <c r="G50" s="77"/>
      <c r="H50" s="77"/>
      <c r="I50" s="77"/>
      <c r="J50" s="77"/>
    </row>
    <row r="51" spans="2:10" ht="3.75" customHeight="1">
      <c r="B51" s="77"/>
      <c r="C51" s="83"/>
      <c r="D51" s="77"/>
      <c r="E51" s="77"/>
      <c r="F51" s="77"/>
      <c r="G51" s="77"/>
      <c r="H51" s="77"/>
      <c r="I51" s="77"/>
      <c r="J51" s="77"/>
    </row>
    <row r="52" spans="2:10" ht="12.75">
      <c r="B52" s="113" t="s">
        <v>62</v>
      </c>
      <c r="C52" s="102" t="s">
        <v>32</v>
      </c>
      <c r="D52" s="74"/>
      <c r="E52" s="102" t="s">
        <v>32</v>
      </c>
      <c r="F52" s="75"/>
      <c r="G52" s="77"/>
      <c r="H52" s="77"/>
      <c r="I52" s="77"/>
      <c r="J52" s="77"/>
    </row>
    <row r="53" spans="2:10" ht="12.75">
      <c r="B53" s="114"/>
      <c r="C53" s="92">
        <v>12</v>
      </c>
      <c r="D53" s="77" t="str">
        <f>IF($C$2=TRUE,"mm","Inch")</f>
        <v>mm</v>
      </c>
      <c r="E53" s="95">
        <f>IF(Units_out=Units_in,C53,IF(Units_in=FALSE,C53*25.4,C53/25.4))</f>
        <v>0.4724409448818898</v>
      </c>
      <c r="F53" s="78" t="str">
        <f>IF($C$4=FALSE,"Inch","mm")</f>
        <v>Inch</v>
      </c>
      <c r="G53" s="77"/>
      <c r="H53" s="77"/>
      <c r="I53" s="77"/>
      <c r="J53" s="77"/>
    </row>
    <row r="54" spans="2:10" ht="3.75" customHeight="1">
      <c r="B54" s="80"/>
      <c r="C54" s="85"/>
      <c r="D54" s="85"/>
      <c r="E54" s="85"/>
      <c r="F54" s="82"/>
      <c r="G54" s="77"/>
      <c r="H54" s="77"/>
      <c r="I54" s="77"/>
      <c r="J54" s="77"/>
    </row>
    <row r="55" spans="2:10" ht="12.75">
      <c r="B55" s="77"/>
      <c r="C55" s="77"/>
      <c r="D55" s="77"/>
      <c r="E55" s="77"/>
      <c r="F55" s="77"/>
      <c r="G55" s="77"/>
      <c r="H55" s="77"/>
      <c r="I55" s="77"/>
      <c r="J55" s="77"/>
    </row>
    <row r="56" spans="2:10" ht="12.75">
      <c r="B56" s="77"/>
      <c r="C56" s="77"/>
      <c r="D56" s="77"/>
      <c r="E56" s="77"/>
      <c r="F56" s="77"/>
      <c r="G56" s="77"/>
      <c r="H56" s="77"/>
      <c r="I56" s="77"/>
      <c r="J56" s="77"/>
    </row>
    <row r="57" spans="2:10" ht="12.75">
      <c r="B57" s="77"/>
      <c r="C57" s="77"/>
      <c r="D57" s="77"/>
      <c r="E57" s="77"/>
      <c r="F57" s="77"/>
      <c r="G57" s="77"/>
      <c r="H57" s="77"/>
      <c r="I57" s="77"/>
      <c r="J57" s="77"/>
    </row>
    <row r="58" spans="2:10" ht="12.75">
      <c r="B58" s="77"/>
      <c r="C58" s="77"/>
      <c r="D58" s="77"/>
      <c r="E58" s="77"/>
      <c r="F58" s="77"/>
      <c r="G58" s="77"/>
      <c r="H58" s="77"/>
      <c r="I58" s="77"/>
      <c r="J58" s="77"/>
    </row>
    <row r="59" spans="2:10" ht="12.75">
      <c r="B59" s="77"/>
      <c r="C59" s="77"/>
      <c r="D59" s="77"/>
      <c r="E59" s="77"/>
      <c r="F59" s="77"/>
      <c r="G59" s="77"/>
      <c r="H59" s="77"/>
      <c r="I59" s="77"/>
      <c r="J59" s="77"/>
    </row>
    <row r="60" spans="2:10" ht="12.75">
      <c r="B60" s="77"/>
      <c r="C60" s="77"/>
      <c r="D60" s="77"/>
      <c r="E60" s="77"/>
      <c r="F60" s="77"/>
      <c r="G60" s="77"/>
      <c r="H60" s="77"/>
      <c r="I60" s="77"/>
      <c r="J60" s="77"/>
    </row>
    <row r="61" spans="2:10" ht="12.75">
      <c r="B61" s="77"/>
      <c r="C61" s="77"/>
      <c r="D61" s="77"/>
      <c r="E61" s="77"/>
      <c r="F61" s="77"/>
      <c r="G61" s="77"/>
      <c r="H61" s="77"/>
      <c r="I61" s="77"/>
      <c r="J61" s="77"/>
    </row>
    <row r="62" spans="2:10" ht="12.75">
      <c r="B62" s="77"/>
      <c r="C62" s="77"/>
      <c r="D62" s="77"/>
      <c r="E62" s="77"/>
      <c r="F62" s="77"/>
      <c r="G62" s="77"/>
      <c r="H62" s="77"/>
      <c r="I62" s="77"/>
      <c r="J62" s="77"/>
    </row>
  </sheetData>
  <mergeCells count="4">
    <mergeCell ref="B52:B53"/>
    <mergeCell ref="H2:K2"/>
    <mergeCell ref="H4:K4"/>
    <mergeCell ref="B1:F1"/>
  </mergeCells>
  <printOptions horizontalCentered="1" verticalCentered="1"/>
  <pageMargins left="0.35433070866141736" right="0.2755905511811024" top="0.7086614173228347" bottom="0.984251968503937" header="0.5118110236220472" footer="0.5118110236220472"/>
  <pageSetup horizontalDpi="600" verticalDpi="6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O51"/>
  <sheetViews>
    <sheetView tabSelected="1" workbookViewId="0" topLeftCell="B1">
      <selection activeCell="I11" sqref="I11"/>
    </sheetView>
  </sheetViews>
  <sheetFormatPr defaultColWidth="9.140625" defaultRowHeight="12.75"/>
  <cols>
    <col min="1" max="1" width="1.28515625" style="0" customWidth="1"/>
    <col min="2" max="2" width="28.140625" style="0" customWidth="1"/>
    <col min="3" max="3" width="7.28125" style="0" customWidth="1"/>
    <col min="4" max="4" width="10.28125" style="0" bestFit="1" customWidth="1"/>
    <col min="5" max="5" width="12.421875" style="0" bestFit="1" customWidth="1"/>
    <col min="6" max="6" width="10.57421875" style="0" customWidth="1"/>
    <col min="7" max="7" width="10.7109375" style="0" bestFit="1" customWidth="1"/>
    <col min="8" max="8" width="11.00390625" style="0" customWidth="1"/>
    <col min="9" max="9" width="11.421875" style="0" customWidth="1"/>
    <col min="10" max="10" width="10.140625" style="0" customWidth="1"/>
    <col min="11" max="11" width="8.28125" style="0" customWidth="1"/>
    <col min="12" max="15" width="4.8515625" style="0" customWidth="1"/>
  </cols>
  <sheetData>
    <row r="1" spans="2:5" s="16" customFormat="1" ht="25.5" customHeight="1" thickBot="1">
      <c r="B1" s="97" t="s">
        <v>14</v>
      </c>
      <c r="C1" s="97"/>
      <c r="D1" s="117" t="str">
        <f>IF(Data!$C$4=TRUE,"mm","Inches")</f>
        <v>Inches</v>
      </c>
      <c r="E1" s="118"/>
    </row>
    <row r="2" spans="2:4" ht="9.75" customHeight="1" thickBot="1">
      <c r="B2" s="6"/>
      <c r="C2" s="6"/>
      <c r="D2" s="8"/>
    </row>
    <row r="3" spans="2:15" s="22" customFormat="1" ht="27.75" customHeight="1">
      <c r="B3" s="127" t="s">
        <v>2</v>
      </c>
      <c r="C3" s="128"/>
      <c r="D3" s="128"/>
      <c r="E3" s="128"/>
      <c r="F3" s="128"/>
      <c r="G3" s="128"/>
      <c r="H3" s="128"/>
      <c r="I3" s="128"/>
      <c r="J3" s="128"/>
      <c r="K3" s="129"/>
      <c r="L3" s="27"/>
      <c r="M3" s="27"/>
      <c r="N3" s="27"/>
      <c r="O3" s="27"/>
    </row>
    <row r="4" spans="2:15" ht="162.75" customHeight="1" thickBot="1">
      <c r="B4" s="131"/>
      <c r="C4" s="132"/>
      <c r="D4" s="132"/>
      <c r="E4" s="132"/>
      <c r="F4" s="132"/>
      <c r="G4" s="132"/>
      <c r="H4" s="132"/>
      <c r="I4" s="132"/>
      <c r="J4" s="132"/>
      <c r="K4" s="133"/>
      <c r="L4" s="36"/>
      <c r="M4" s="36"/>
      <c r="N4" s="36"/>
      <c r="O4" s="36"/>
    </row>
    <row r="5" spans="2:15" ht="15" customHeight="1" thickBo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9" s="16" customFormat="1" ht="16.5" customHeight="1" thickBot="1">
      <c r="B6" s="28" t="s">
        <v>37</v>
      </c>
      <c r="C6" s="29" t="s">
        <v>1</v>
      </c>
      <c r="D6" s="29" t="s">
        <v>13</v>
      </c>
      <c r="E6" s="29" t="s">
        <v>12</v>
      </c>
      <c r="F6" s="29" t="s">
        <v>15</v>
      </c>
      <c r="G6" s="29" t="s">
        <v>16</v>
      </c>
      <c r="H6" s="29" t="s">
        <v>17</v>
      </c>
      <c r="I6" s="30" t="s">
        <v>63</v>
      </c>
    </row>
    <row r="7" spans="2:9" ht="13.5" thickTop="1">
      <c r="B7" s="31" t="s">
        <v>35</v>
      </c>
      <c r="C7" s="12" t="s">
        <v>9</v>
      </c>
      <c r="D7" s="13">
        <v>4</v>
      </c>
      <c r="E7" s="53">
        <f>Chan_thick</f>
        <v>0.1968503937007874</v>
      </c>
      <c r="F7" s="14">
        <f>(Brick_width*4)+(3*Mortar)</f>
        <v>18.1496062992126</v>
      </c>
      <c r="G7" s="53">
        <f>Chan_height</f>
        <v>1.968503937007874</v>
      </c>
      <c r="H7" s="14">
        <f>Chan_width</f>
        <v>3.937007874015748</v>
      </c>
      <c r="I7" s="51">
        <f>F7*D7</f>
        <v>72.5984251968504</v>
      </c>
    </row>
    <row r="8" spans="2:9" ht="12.75">
      <c r="B8" s="32" t="s">
        <v>33</v>
      </c>
      <c r="C8" s="9" t="s">
        <v>10</v>
      </c>
      <c r="D8" s="10">
        <v>2</v>
      </c>
      <c r="E8" s="54">
        <f>Chan_thick</f>
        <v>0.1968503937007874</v>
      </c>
      <c r="F8" s="11">
        <f>(Brick_width*2)+(Brick_length*1.5)+(3.5*Mortar)</f>
        <v>22.618110236220474</v>
      </c>
      <c r="G8" s="54">
        <f>Chan_height</f>
        <v>1.968503937007874</v>
      </c>
      <c r="H8" s="11">
        <f>Chan_width</f>
        <v>3.937007874015748</v>
      </c>
      <c r="I8" s="52">
        <f>F8*D8</f>
        <v>45.23622047244095</v>
      </c>
    </row>
    <row r="9" spans="2:9" ht="12.75">
      <c r="B9" s="32" t="s">
        <v>34</v>
      </c>
      <c r="C9" s="9" t="s">
        <v>11</v>
      </c>
      <c r="D9" s="10">
        <v>2</v>
      </c>
      <c r="E9" s="54">
        <f>Chan_thick</f>
        <v>0.1968503937007874</v>
      </c>
      <c r="F9" s="11">
        <f>(Brick_width)+(Brick_length)+(1.5*Mortar)</f>
        <v>13.405511811023624</v>
      </c>
      <c r="G9" s="54">
        <f>Chan_height</f>
        <v>1.968503937007874</v>
      </c>
      <c r="H9" s="11">
        <f>Chan_width</f>
        <v>3.937007874015748</v>
      </c>
      <c r="I9" s="52">
        <f>F9*D9</f>
        <v>26.811023622047248</v>
      </c>
    </row>
    <row r="10" spans="2:15" ht="18" customHeight="1" thickBot="1">
      <c r="B10" s="122" t="s">
        <v>18</v>
      </c>
      <c r="C10" s="123"/>
      <c r="D10" s="123"/>
      <c r="E10" s="123"/>
      <c r="F10" s="123"/>
      <c r="G10" s="123"/>
      <c r="H10" s="123"/>
      <c r="I10" s="37">
        <f>SUM(I7:I9)</f>
        <v>144.6456692913386</v>
      </c>
      <c r="M10" s="24"/>
      <c r="N10" s="134"/>
      <c r="O10" s="134"/>
    </row>
    <row r="11" spans="3:8" ht="20.25" customHeight="1" thickBot="1">
      <c r="C11" s="3"/>
      <c r="D11" s="1"/>
      <c r="E11" s="4"/>
      <c r="F11" s="7"/>
      <c r="G11" s="7"/>
      <c r="H11" s="7"/>
    </row>
    <row r="12" spans="2:15" ht="26.25">
      <c r="B12" s="127" t="s">
        <v>3</v>
      </c>
      <c r="C12" s="128"/>
      <c r="D12" s="128"/>
      <c r="E12" s="128"/>
      <c r="F12" s="128"/>
      <c r="G12" s="128"/>
      <c r="H12" s="128"/>
      <c r="I12" s="128"/>
      <c r="J12" s="128"/>
      <c r="K12" s="129"/>
      <c r="L12" s="27"/>
      <c r="M12" s="27"/>
      <c r="N12" s="27"/>
      <c r="O12" s="27"/>
    </row>
    <row r="13" spans="2:15" ht="132.75" customHeight="1">
      <c r="B13" s="124"/>
      <c r="C13" s="125"/>
      <c r="D13" s="125"/>
      <c r="E13" s="125"/>
      <c r="F13" s="125"/>
      <c r="G13" s="125"/>
      <c r="H13" s="125"/>
      <c r="I13" s="125"/>
      <c r="J13" s="125"/>
      <c r="K13" s="126"/>
      <c r="L13" s="26"/>
      <c r="M13" s="26"/>
      <c r="N13" s="26"/>
      <c r="O13" s="26"/>
    </row>
    <row r="14" spans="2:15" ht="130.5" customHeight="1">
      <c r="B14" s="124"/>
      <c r="C14" s="125"/>
      <c r="D14" s="125"/>
      <c r="E14" s="125"/>
      <c r="F14" s="125"/>
      <c r="G14" s="125"/>
      <c r="H14" s="125"/>
      <c r="I14" s="125"/>
      <c r="J14" s="125"/>
      <c r="K14" s="126"/>
      <c r="L14" s="26"/>
      <c r="M14" s="26"/>
      <c r="N14" s="26"/>
      <c r="O14" s="26"/>
    </row>
    <row r="15" spans="2:15" ht="107.25" customHeight="1">
      <c r="B15" s="124"/>
      <c r="C15" s="125"/>
      <c r="D15" s="125"/>
      <c r="E15" s="125"/>
      <c r="F15" s="125"/>
      <c r="G15" s="125"/>
      <c r="H15" s="125"/>
      <c r="I15" s="125"/>
      <c r="J15" s="125"/>
      <c r="K15" s="126"/>
      <c r="L15" s="26"/>
      <c r="M15" s="26"/>
      <c r="N15" s="26"/>
      <c r="O15" s="26"/>
    </row>
    <row r="16" spans="2:15" ht="127.5" customHeight="1" thickBot="1">
      <c r="B16" s="130"/>
      <c r="C16" s="107"/>
      <c r="D16" s="107"/>
      <c r="E16" s="107"/>
      <c r="F16" s="107"/>
      <c r="G16" s="107"/>
      <c r="H16" s="107"/>
      <c r="I16" s="107"/>
      <c r="J16" s="107"/>
      <c r="K16" s="108"/>
      <c r="L16" s="26"/>
      <c r="M16" s="26"/>
      <c r="N16" s="26"/>
      <c r="O16" s="26"/>
    </row>
    <row r="17" spans="2:15" ht="15" customHeight="1" thickBot="1">
      <c r="B17" s="2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1" s="16" customFormat="1" ht="16.5" customHeight="1" thickBot="1">
      <c r="B18" s="28" t="s">
        <v>37</v>
      </c>
      <c r="C18" s="29" t="s">
        <v>1</v>
      </c>
      <c r="D18" s="29" t="s">
        <v>13</v>
      </c>
      <c r="E18" s="29" t="s">
        <v>12</v>
      </c>
      <c r="F18" s="29" t="s">
        <v>49</v>
      </c>
      <c r="G18" s="29" t="s">
        <v>43</v>
      </c>
      <c r="H18" s="29" t="s">
        <v>16</v>
      </c>
      <c r="I18" s="29" t="s">
        <v>17</v>
      </c>
      <c r="J18" s="29" t="s">
        <v>32</v>
      </c>
      <c r="K18" s="30" t="s">
        <v>63</v>
      </c>
    </row>
    <row r="19" spans="2:11" ht="13.5" thickTop="1">
      <c r="B19" s="31" t="s">
        <v>36</v>
      </c>
      <c r="C19" s="12" t="s">
        <v>22</v>
      </c>
      <c r="D19" s="13">
        <v>4</v>
      </c>
      <c r="E19" s="53">
        <f aca="true" t="shared" si="0" ref="E19:E26">Angle_thick</f>
        <v>0.11811023622047245</v>
      </c>
      <c r="F19" s="14">
        <f>(Brick_width*4)+(3*Mortar)-(Chan_width)</f>
        <v>14.212598425196852</v>
      </c>
      <c r="G19" s="59"/>
      <c r="H19" s="14">
        <f aca="true" t="shared" si="1" ref="H19:H26">Angle_height</f>
        <v>1.1811023622047245</v>
      </c>
      <c r="I19" s="14">
        <f aca="true" t="shared" si="2" ref="I19:I26">Angle_width</f>
        <v>1.1811023622047245</v>
      </c>
      <c r="J19" s="55"/>
      <c r="K19" s="98">
        <f>F19*D19</f>
        <v>56.85039370078741</v>
      </c>
    </row>
    <row r="20" spans="2:11" ht="12.75">
      <c r="B20" s="32" t="s">
        <v>27</v>
      </c>
      <c r="C20" s="9" t="s">
        <v>23</v>
      </c>
      <c r="D20" s="10">
        <v>2</v>
      </c>
      <c r="E20" s="54">
        <f t="shared" si="0"/>
        <v>0.11811023622047245</v>
      </c>
      <c r="F20" s="11">
        <f>(Brick_width*2)+(Brick_length*1.5)+(3.5*Mortar)-(Chan_width)</f>
        <v>18.681102362204726</v>
      </c>
      <c r="G20" s="57"/>
      <c r="H20" s="11">
        <f t="shared" si="1"/>
        <v>1.1811023622047245</v>
      </c>
      <c r="I20" s="11">
        <f t="shared" si="2"/>
        <v>1.1811023622047245</v>
      </c>
      <c r="J20" s="56"/>
      <c r="K20" s="99">
        <f aca="true" t="shared" si="3" ref="K20:K26">F20*D20</f>
        <v>37.36220472440945</v>
      </c>
    </row>
    <row r="21" spans="2:11" ht="12.75">
      <c r="B21" s="32" t="s">
        <v>28</v>
      </c>
      <c r="C21" s="9" t="s">
        <v>38</v>
      </c>
      <c r="D21" s="10">
        <v>2</v>
      </c>
      <c r="E21" s="54">
        <f t="shared" si="0"/>
        <v>0.11811023622047245</v>
      </c>
      <c r="F21" s="11">
        <f>(Brick_width)+(Brick_length)+(1.5*Mortar)-(Chan_width)</f>
        <v>9.468503937007876</v>
      </c>
      <c r="G21" s="57"/>
      <c r="H21" s="11">
        <f t="shared" si="1"/>
        <v>1.1811023622047245</v>
      </c>
      <c r="I21" s="11">
        <f t="shared" si="2"/>
        <v>1.1811023622047245</v>
      </c>
      <c r="J21" s="56"/>
      <c r="K21" s="99">
        <f t="shared" si="3"/>
        <v>18.93700787401575</v>
      </c>
    </row>
    <row r="22" spans="2:11" ht="12.75">
      <c r="B22" s="32" t="s">
        <v>29</v>
      </c>
      <c r="C22" s="9" t="s">
        <v>39</v>
      </c>
      <c r="D22" s="10">
        <v>1</v>
      </c>
      <c r="E22" s="54">
        <f t="shared" si="0"/>
        <v>0.11811023622047245</v>
      </c>
      <c r="F22" s="11">
        <f>(2*Brick_width)+(Mortar)-(2*Sheet_thick)</f>
        <v>8.700787401574804</v>
      </c>
      <c r="G22" s="57"/>
      <c r="H22" s="11">
        <f t="shared" si="1"/>
        <v>1.1811023622047245</v>
      </c>
      <c r="I22" s="11">
        <f t="shared" si="2"/>
        <v>1.1811023622047245</v>
      </c>
      <c r="J22" s="56"/>
      <c r="K22" s="99">
        <f t="shared" si="3"/>
        <v>8.700787401574804</v>
      </c>
    </row>
    <row r="23" spans="2:11" ht="12.75">
      <c r="B23" s="32" t="s">
        <v>30</v>
      </c>
      <c r="C23" s="9" t="s">
        <v>40</v>
      </c>
      <c r="D23" s="10">
        <v>2</v>
      </c>
      <c r="E23" s="54">
        <f t="shared" si="0"/>
        <v>0.11811023622047245</v>
      </c>
      <c r="F23" s="11">
        <f>(4*Brick_height)+(3*Mortar)-(2*Sheet_thick)</f>
        <v>11.614173228346457</v>
      </c>
      <c r="G23" s="57"/>
      <c r="H23" s="11">
        <f t="shared" si="1"/>
        <v>1.1811023622047245</v>
      </c>
      <c r="I23" s="11">
        <f t="shared" si="2"/>
        <v>1.1811023622047245</v>
      </c>
      <c r="J23" s="56"/>
      <c r="K23" s="99">
        <f t="shared" si="3"/>
        <v>23.228346456692915</v>
      </c>
    </row>
    <row r="24" spans="2:14" ht="12.75">
      <c r="B24" s="32" t="s">
        <v>44</v>
      </c>
      <c r="C24" s="9" t="s">
        <v>41</v>
      </c>
      <c r="D24" s="10">
        <v>6</v>
      </c>
      <c r="E24" s="54">
        <f t="shared" si="0"/>
        <v>0.11811023622047245</v>
      </c>
      <c r="F24" s="11">
        <f>2*(Brick_height)+Chan_height</f>
        <v>7.480314960629921</v>
      </c>
      <c r="G24" s="11">
        <f>0.5*Chan_height</f>
        <v>0.984251968503937</v>
      </c>
      <c r="H24" s="11">
        <f t="shared" si="1"/>
        <v>1.1811023622047245</v>
      </c>
      <c r="I24" s="11">
        <f t="shared" si="2"/>
        <v>1.1811023622047245</v>
      </c>
      <c r="J24" s="11">
        <f>IF(Units_out=TRUE,10,0.4)</f>
        <v>0.4</v>
      </c>
      <c r="K24" s="99">
        <f t="shared" si="3"/>
        <v>44.881889763779526</v>
      </c>
      <c r="N24" s="1"/>
    </row>
    <row r="25" spans="2:11" ht="12.75">
      <c r="B25" s="32" t="s">
        <v>31</v>
      </c>
      <c r="C25" s="9" t="s">
        <v>42</v>
      </c>
      <c r="D25" s="10">
        <v>1</v>
      </c>
      <c r="E25" s="54">
        <f t="shared" si="0"/>
        <v>0.11811023622047245</v>
      </c>
      <c r="F25" s="11">
        <f>IF(Units_out=TRUE,400,16)</f>
        <v>16</v>
      </c>
      <c r="G25" s="4">
        <f>F25/2</f>
        <v>8</v>
      </c>
      <c r="H25" s="11">
        <f t="shared" si="1"/>
        <v>1.1811023622047245</v>
      </c>
      <c r="I25" s="11">
        <f t="shared" si="2"/>
        <v>1.1811023622047245</v>
      </c>
      <c r="J25" s="11">
        <f>IF(Units_out=TRUE,10,0.4)</f>
        <v>0.4</v>
      </c>
      <c r="K25" s="99">
        <f t="shared" si="3"/>
        <v>16</v>
      </c>
    </row>
    <row r="26" spans="2:11" ht="12.75">
      <c r="B26" s="32" t="s">
        <v>45</v>
      </c>
      <c r="C26" s="9" t="s">
        <v>46</v>
      </c>
      <c r="D26" s="10">
        <v>1</v>
      </c>
      <c r="E26" s="54">
        <f t="shared" si="0"/>
        <v>0.11811023622047245</v>
      </c>
      <c r="F26" s="11">
        <f>F25/2</f>
        <v>8</v>
      </c>
      <c r="G26" s="11">
        <f>Angle_width</f>
        <v>1.1811023622047245</v>
      </c>
      <c r="H26" s="11">
        <f t="shared" si="1"/>
        <v>1.1811023622047245</v>
      </c>
      <c r="I26" s="11">
        <f t="shared" si="2"/>
        <v>1.1811023622047245</v>
      </c>
      <c r="J26" s="11">
        <f>IF(Units_out=TRUE,10,0.4)</f>
        <v>0.4</v>
      </c>
      <c r="K26" s="99">
        <f t="shared" si="3"/>
        <v>8</v>
      </c>
    </row>
    <row r="27" spans="2:15" ht="18" customHeight="1" thickBot="1">
      <c r="B27" s="122" t="s">
        <v>67</v>
      </c>
      <c r="C27" s="123"/>
      <c r="D27" s="123"/>
      <c r="E27" s="123"/>
      <c r="F27" s="123"/>
      <c r="G27" s="123"/>
      <c r="H27" s="123"/>
      <c r="I27" s="123"/>
      <c r="J27" s="123"/>
      <c r="K27" s="37">
        <f>SUM(K19:K26)</f>
        <v>213.96062992125985</v>
      </c>
      <c r="M27" s="24"/>
      <c r="N27" s="134"/>
      <c r="O27" s="134"/>
    </row>
    <row r="28" spans="2:8" ht="15" customHeight="1" thickBot="1">
      <c r="B28" s="19"/>
      <c r="C28" s="2"/>
      <c r="D28" s="18"/>
      <c r="E28" s="17"/>
      <c r="F28" s="20"/>
      <c r="G28" s="15"/>
      <c r="H28" s="21"/>
    </row>
    <row r="29" spans="2:15" ht="26.25">
      <c r="B29" s="127" t="s">
        <v>50</v>
      </c>
      <c r="C29" s="128"/>
      <c r="D29" s="128"/>
      <c r="E29" s="128"/>
      <c r="F29" s="128"/>
      <c r="G29" s="128"/>
      <c r="H29" s="128"/>
      <c r="I29" s="128"/>
      <c r="J29" s="128"/>
      <c r="K29" s="129"/>
      <c r="L29" s="27"/>
      <c r="M29" s="27"/>
      <c r="N29" s="27"/>
      <c r="O29" s="27"/>
    </row>
    <row r="30" spans="2:15" ht="138.75" customHeight="1">
      <c r="B30" s="124"/>
      <c r="C30" s="125"/>
      <c r="D30" s="125"/>
      <c r="E30" s="125"/>
      <c r="F30" s="125"/>
      <c r="G30" s="125"/>
      <c r="H30" s="125"/>
      <c r="I30" s="125"/>
      <c r="J30" s="125"/>
      <c r="K30" s="126"/>
      <c r="L30" s="26"/>
      <c r="M30" s="26"/>
      <c r="N30" s="26"/>
      <c r="O30" s="26"/>
    </row>
    <row r="31" spans="2:11" ht="122.25" customHeight="1">
      <c r="B31" s="124"/>
      <c r="C31" s="125"/>
      <c r="D31" s="125"/>
      <c r="E31" s="125"/>
      <c r="F31" s="125"/>
      <c r="G31" s="125"/>
      <c r="H31" s="125"/>
      <c r="I31" s="125"/>
      <c r="J31" s="125"/>
      <c r="K31" s="126"/>
    </row>
    <row r="32" spans="2:11" ht="114.75" customHeight="1" thickBot="1">
      <c r="B32" s="130"/>
      <c r="C32" s="107"/>
      <c r="D32" s="107"/>
      <c r="E32" s="107"/>
      <c r="F32" s="107"/>
      <c r="G32" s="107"/>
      <c r="H32" s="107"/>
      <c r="I32" s="107"/>
      <c r="J32" s="107"/>
      <c r="K32" s="108"/>
    </row>
    <row r="33" ht="13.5" thickBot="1"/>
    <row r="34" spans="2:11" s="16" customFormat="1" ht="16.5" customHeight="1" thickBot="1">
      <c r="B34" s="28" t="s">
        <v>37</v>
      </c>
      <c r="C34" s="29" t="s">
        <v>1</v>
      </c>
      <c r="D34" s="29" t="s">
        <v>13</v>
      </c>
      <c r="E34" s="29" t="s">
        <v>12</v>
      </c>
      <c r="F34" s="29" t="s">
        <v>51</v>
      </c>
      <c r="G34" s="29" t="s">
        <v>43</v>
      </c>
      <c r="H34" s="29" t="s">
        <v>48</v>
      </c>
      <c r="I34" s="29" t="s">
        <v>17</v>
      </c>
      <c r="J34" s="29" t="s">
        <v>32</v>
      </c>
      <c r="K34" s="30" t="s">
        <v>63</v>
      </c>
    </row>
    <row r="35" spans="2:11" ht="13.5" thickTop="1">
      <c r="B35" s="31" t="s">
        <v>27</v>
      </c>
      <c r="C35" s="12" t="s">
        <v>47</v>
      </c>
      <c r="D35" s="13">
        <v>1</v>
      </c>
      <c r="E35" s="53">
        <f>Sheet_thick</f>
        <v>0.11811023622047245</v>
      </c>
      <c r="F35" s="14">
        <f>(Brick_width*2)+(Brick_length*1.5)+(3.5*Mortar)-(Chan_width)</f>
        <v>18.681102362204726</v>
      </c>
      <c r="G35" s="14">
        <f>F35/2</f>
        <v>9.340551181102363</v>
      </c>
      <c r="H35" s="14">
        <f>2*Angle_width</f>
        <v>2.362204724409449</v>
      </c>
      <c r="I35" s="14">
        <f>(Brick_width*4)+(3*Mortar)-(Chan_width)</f>
        <v>14.212598425196852</v>
      </c>
      <c r="J35" s="11">
        <f>IF(Units_out=TRUE,10,0.4)</f>
        <v>0.4</v>
      </c>
      <c r="K35" s="100">
        <f>D35*F35*I35</f>
        <v>265.50700601401206</v>
      </c>
    </row>
    <row r="36" spans="2:11" ht="12.75">
      <c r="B36" s="32" t="s">
        <v>28</v>
      </c>
      <c r="C36" s="9" t="s">
        <v>52</v>
      </c>
      <c r="D36" s="10">
        <v>1</v>
      </c>
      <c r="E36" s="54">
        <f>Sheet_thick</f>
        <v>0.11811023622047245</v>
      </c>
      <c r="F36" s="11">
        <f>(Brick_width*4)+(3*Mortar)-(Chan_width)</f>
        <v>14.212598425196852</v>
      </c>
      <c r="G36" s="57"/>
      <c r="H36" s="57"/>
      <c r="I36" s="11">
        <f>(Brick_width)+(Brick_length)+(1.5*Mortar)-(Chan_width)</f>
        <v>9.468503937007876</v>
      </c>
      <c r="J36" s="11">
        <f>Chim_diam-(3*Chim_Tick)</f>
        <v>3.5826771653543306</v>
      </c>
      <c r="K36" s="101">
        <f>D36*F36*I36</f>
        <v>134.57204414408832</v>
      </c>
    </row>
    <row r="37" spans="2:11" ht="12.75">
      <c r="B37" s="32" t="s">
        <v>25</v>
      </c>
      <c r="C37" s="9" t="s">
        <v>53</v>
      </c>
      <c r="D37" s="10">
        <v>2</v>
      </c>
      <c r="E37" s="54">
        <f>Sheet_thick</f>
        <v>0.11811023622047245</v>
      </c>
      <c r="F37" s="11">
        <f>(4*Brick_height)+(4*Mortar)-(2*Sheet_thick)</f>
        <v>11.88976377952756</v>
      </c>
      <c r="G37" s="57"/>
      <c r="H37" s="58"/>
      <c r="I37" s="11">
        <f>(1.5*Brick_width)</f>
        <v>6.496062992125985</v>
      </c>
      <c r="J37" s="57"/>
      <c r="K37" s="101">
        <f>D37*F37*I37</f>
        <v>154.47330894661792</v>
      </c>
    </row>
    <row r="38" spans="2:11" ht="12.75">
      <c r="B38" s="32" t="s">
        <v>26</v>
      </c>
      <c r="C38" s="9" t="s">
        <v>54</v>
      </c>
      <c r="D38" s="10">
        <v>2</v>
      </c>
      <c r="E38" s="54">
        <f>Sheet_thick</f>
        <v>0.11811023622047245</v>
      </c>
      <c r="F38" s="11">
        <f>(2*Brick_width)+(Mortar)</f>
        <v>8.937007874015748</v>
      </c>
      <c r="G38" s="57"/>
      <c r="H38" s="57"/>
      <c r="I38" s="11">
        <f>(1.5*Brick_width)</f>
        <v>6.496062992125985</v>
      </c>
      <c r="J38" s="57"/>
      <c r="K38" s="101">
        <f>D38*F38*I38</f>
        <v>116.11073222146446</v>
      </c>
    </row>
    <row r="39" spans="2:11" ht="12.75">
      <c r="B39" s="32" t="s">
        <v>24</v>
      </c>
      <c r="C39" s="9" t="s">
        <v>55</v>
      </c>
      <c r="D39" s="10">
        <v>1</v>
      </c>
      <c r="E39" s="54">
        <f>Sheet_thick</f>
        <v>0.11811023622047245</v>
      </c>
      <c r="F39" s="11">
        <f>(4*Brick_height)+(3*Mortar)-(2*Sheet_thick)-IF(Units_out=TRUE,90,3.5)</f>
        <v>8.114173228346457</v>
      </c>
      <c r="G39" s="57"/>
      <c r="H39" s="57"/>
      <c r="I39" s="11">
        <f>(2*Brick_width)+(Mortar)+(2*Angle_height)-(2*Angle_thick)-(2*Sheet_thick)</f>
        <v>10.826771653543307</v>
      </c>
      <c r="J39" s="57"/>
      <c r="K39" s="101">
        <f>D39*F39*I39</f>
        <v>87.85030070060141</v>
      </c>
    </row>
    <row r="40" spans="2:12" ht="18.75" customHeight="1" thickBot="1">
      <c r="B40" s="122" t="s">
        <v>18</v>
      </c>
      <c r="C40" s="123"/>
      <c r="D40" s="123"/>
      <c r="E40" s="123"/>
      <c r="F40" s="123"/>
      <c r="G40" s="123"/>
      <c r="H40" s="123"/>
      <c r="I40" s="123"/>
      <c r="J40" s="123"/>
      <c r="K40" s="35">
        <f>SUM(K35:K39)</f>
        <v>758.5133920267842</v>
      </c>
      <c r="L40" s="5"/>
    </row>
    <row r="41" spans="3:8" ht="23.25" customHeight="1" thickBot="1">
      <c r="C41" s="1"/>
      <c r="D41" s="1"/>
      <c r="E41" s="1"/>
      <c r="F41" s="1"/>
      <c r="G41" s="1"/>
      <c r="H41" s="1"/>
    </row>
    <row r="42" spans="2:11" ht="26.25">
      <c r="B42" s="127" t="s">
        <v>64</v>
      </c>
      <c r="C42" s="128"/>
      <c r="D42" s="128"/>
      <c r="E42" s="128"/>
      <c r="F42" s="128"/>
      <c r="G42" s="128"/>
      <c r="H42" s="128"/>
      <c r="I42" s="128"/>
      <c r="J42" s="128"/>
      <c r="K42" s="129"/>
    </row>
    <row r="43" spans="2:11" ht="131.25" customHeight="1">
      <c r="B43" s="109"/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72.75" customHeight="1" thickBot="1">
      <c r="B44" s="130"/>
      <c r="C44" s="107"/>
      <c r="D44" s="107"/>
      <c r="E44" s="107"/>
      <c r="F44" s="107"/>
      <c r="G44" s="107"/>
      <c r="H44" s="107"/>
      <c r="I44" s="107"/>
      <c r="J44" s="107"/>
      <c r="K44" s="108"/>
    </row>
    <row r="45" spans="2:11" ht="14.25" customHeight="1" thickBot="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7" ht="13.5" thickBot="1">
      <c r="B46" s="28" t="s">
        <v>37</v>
      </c>
      <c r="C46" s="29" t="s">
        <v>1</v>
      </c>
      <c r="D46" s="29" t="s">
        <v>13</v>
      </c>
      <c r="E46" s="29" t="s">
        <v>15</v>
      </c>
      <c r="F46" s="29" t="s">
        <v>32</v>
      </c>
      <c r="G46" s="30" t="s">
        <v>63</v>
      </c>
    </row>
    <row r="47" spans="2:7" ht="13.5" thickTop="1">
      <c r="B47" s="34" t="s">
        <v>65</v>
      </c>
      <c r="C47" s="13" t="s">
        <v>58</v>
      </c>
      <c r="D47" s="13">
        <v>5</v>
      </c>
      <c r="E47" s="14">
        <f>(4*Brick_length)-I37</f>
        <v>28.1496062992126</v>
      </c>
      <c r="F47" s="14">
        <f>Bar</f>
        <v>0.4724409448818898</v>
      </c>
      <c r="G47" s="98">
        <f>E47*D47</f>
        <v>140.748031496063</v>
      </c>
    </row>
    <row r="48" spans="2:7" ht="12.75">
      <c r="B48" s="33" t="s">
        <v>66</v>
      </c>
      <c r="C48" s="10" t="s">
        <v>59</v>
      </c>
      <c r="D48" s="10">
        <v>4</v>
      </c>
      <c r="E48" s="11">
        <f>Brick_length-IF(Units_out=TRUE,2.5,1)</f>
        <v>7.661417322834646</v>
      </c>
      <c r="F48" s="11">
        <f>Bar</f>
        <v>0.4724409448818898</v>
      </c>
      <c r="G48" s="99">
        <f>E48*D48</f>
        <v>30.645669291338585</v>
      </c>
    </row>
    <row r="49" spans="2:7" ht="12.75">
      <c r="B49" s="32" t="s">
        <v>56</v>
      </c>
      <c r="C49" s="10" t="s">
        <v>60</v>
      </c>
      <c r="D49" s="10">
        <v>1</v>
      </c>
      <c r="E49" s="106">
        <f>5*Brick_length</f>
        <v>43.30708661417323</v>
      </c>
      <c r="F49" s="11">
        <f>Bar</f>
        <v>0.4724409448818898</v>
      </c>
      <c r="G49" s="99">
        <f>E49*D49</f>
        <v>43.30708661417323</v>
      </c>
    </row>
    <row r="50" spans="2:7" ht="12.75">
      <c r="B50" s="32" t="s">
        <v>57</v>
      </c>
      <c r="C50" s="10" t="s">
        <v>61</v>
      </c>
      <c r="D50" s="10">
        <v>1</v>
      </c>
      <c r="E50" s="106">
        <f>5*Brick_length</f>
        <v>43.30708661417323</v>
      </c>
      <c r="F50" s="11">
        <f>Bar</f>
        <v>0.4724409448818898</v>
      </c>
      <c r="G50" s="99">
        <f>E50*D50</f>
        <v>43.30708661417323</v>
      </c>
    </row>
    <row r="51" spans="2:7" ht="13.5" thickBot="1">
      <c r="B51" s="119" t="s">
        <v>67</v>
      </c>
      <c r="C51" s="120"/>
      <c r="D51" s="120"/>
      <c r="E51" s="120"/>
      <c r="F51" s="121"/>
      <c r="G51" s="104">
        <f>SUM(G47:G50)</f>
        <v>258.00787401574803</v>
      </c>
    </row>
  </sheetData>
  <mergeCells count="21">
    <mergeCell ref="B3:K3"/>
    <mergeCell ref="B30:K30"/>
    <mergeCell ref="B29:K29"/>
    <mergeCell ref="N10:O10"/>
    <mergeCell ref="N27:O27"/>
    <mergeCell ref="B31:K31"/>
    <mergeCell ref="B32:K32"/>
    <mergeCell ref="B4:K4"/>
    <mergeCell ref="B44:K44"/>
    <mergeCell ref="B42:K42"/>
    <mergeCell ref="B27:J27"/>
    <mergeCell ref="D1:E1"/>
    <mergeCell ref="B51:F51"/>
    <mergeCell ref="B40:J40"/>
    <mergeCell ref="B10:H10"/>
    <mergeCell ref="B13:K13"/>
    <mergeCell ref="B12:K12"/>
    <mergeCell ref="B14:K14"/>
    <mergeCell ref="B15:K15"/>
    <mergeCell ref="B16:K16"/>
    <mergeCell ref="B43:K43"/>
  </mergeCells>
  <printOptions horizontalCentered="1"/>
  <pageMargins left="0.4724409448818898" right="0.35433070866141736" top="0.7086614173228347" bottom="0.5118110236220472" header="0.5118110236220472" footer="0.5118110236220472"/>
  <pageSetup fitToHeight="2" horizontalDpi="600" verticalDpi="600" orientation="portrait" paperSize="9" scale="67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G28"/>
  <sheetViews>
    <sheetView workbookViewId="0" topLeftCell="A1">
      <selection activeCell="J5" sqref="J5"/>
    </sheetView>
  </sheetViews>
  <sheetFormatPr defaultColWidth="9.140625" defaultRowHeight="12.75"/>
  <cols>
    <col min="1" max="1" width="4.00390625" style="0" customWidth="1"/>
    <col min="2" max="2" width="20.28125" style="0" customWidth="1"/>
    <col min="3" max="3" width="21.421875" style="0" bestFit="1" customWidth="1"/>
    <col min="4" max="4" width="4.28125" style="0" bestFit="1" customWidth="1"/>
    <col min="7" max="7" width="32.28125" style="0" customWidth="1"/>
  </cols>
  <sheetData>
    <row r="2" spans="5:7" ht="13.5" thickBot="1">
      <c r="E2" s="112" t="s">
        <v>123</v>
      </c>
      <c r="G2" s="112" t="s">
        <v>124</v>
      </c>
    </row>
    <row r="3" spans="2:7" ht="12.75">
      <c r="B3" s="147" t="s">
        <v>68</v>
      </c>
      <c r="C3" s="41" t="s">
        <v>69</v>
      </c>
      <c r="D3" s="149" t="s">
        <v>112</v>
      </c>
      <c r="E3" s="145" t="s">
        <v>122</v>
      </c>
      <c r="F3" s="146"/>
      <c r="G3" s="151" t="s">
        <v>71</v>
      </c>
    </row>
    <row r="4" spans="2:7" ht="13.5" thickBot="1">
      <c r="B4" s="148"/>
      <c r="C4" s="49" t="s">
        <v>70</v>
      </c>
      <c r="D4" s="150"/>
      <c r="E4" s="50" t="s">
        <v>95</v>
      </c>
      <c r="F4" s="50" t="s">
        <v>63</v>
      </c>
      <c r="G4" s="152"/>
    </row>
    <row r="5" spans="2:7" ht="16.5" customHeight="1" thickTop="1">
      <c r="B5" s="46" t="s">
        <v>0</v>
      </c>
      <c r="C5" s="47" t="s">
        <v>104</v>
      </c>
      <c r="D5" s="47">
        <v>165</v>
      </c>
      <c r="E5" s="48">
        <v>170</v>
      </c>
      <c r="F5" s="48">
        <f>E5*D5</f>
        <v>28050</v>
      </c>
      <c r="G5" s="142" t="s">
        <v>99</v>
      </c>
    </row>
    <row r="6" spans="2:7" ht="16.5" customHeight="1">
      <c r="B6" s="42" t="s">
        <v>72</v>
      </c>
      <c r="C6" s="39" t="s">
        <v>91</v>
      </c>
      <c r="D6" s="39">
        <v>1</v>
      </c>
      <c r="E6" s="40">
        <v>5000</v>
      </c>
      <c r="F6" s="40">
        <f aca="true" t="shared" si="0" ref="F6:F23">E6*D6</f>
        <v>5000</v>
      </c>
      <c r="G6" s="142"/>
    </row>
    <row r="7" spans="2:7" ht="16.5" customHeight="1" thickBot="1">
      <c r="B7" s="64" t="s">
        <v>73</v>
      </c>
      <c r="C7" s="65" t="s">
        <v>92</v>
      </c>
      <c r="D7" s="65">
        <v>1</v>
      </c>
      <c r="E7" s="66">
        <v>1560</v>
      </c>
      <c r="F7" s="66">
        <f t="shared" si="0"/>
        <v>1560</v>
      </c>
      <c r="G7" s="143"/>
    </row>
    <row r="8" spans="2:7" ht="16.5" customHeight="1">
      <c r="B8" s="61" t="s">
        <v>74</v>
      </c>
      <c r="C8" s="62" t="s">
        <v>105</v>
      </c>
      <c r="D8" s="62">
        <v>1</v>
      </c>
      <c r="E8" s="63">
        <v>29000</v>
      </c>
      <c r="F8" s="63">
        <f t="shared" si="0"/>
        <v>29000</v>
      </c>
      <c r="G8" s="140" t="s">
        <v>100</v>
      </c>
    </row>
    <row r="9" spans="2:7" ht="22.5" customHeight="1">
      <c r="B9" s="42" t="s">
        <v>75</v>
      </c>
      <c r="C9" s="39" t="s">
        <v>106</v>
      </c>
      <c r="D9" s="39">
        <v>2</v>
      </c>
      <c r="E9" s="40">
        <v>5700</v>
      </c>
      <c r="F9" s="40">
        <f t="shared" si="0"/>
        <v>11400</v>
      </c>
      <c r="G9" s="141"/>
    </row>
    <row r="10" spans="2:7" ht="16.5" customHeight="1" thickBot="1">
      <c r="B10" s="68" t="s">
        <v>76</v>
      </c>
      <c r="C10" s="69" t="s">
        <v>107</v>
      </c>
      <c r="D10" s="69">
        <v>0.5</v>
      </c>
      <c r="E10" s="70">
        <v>45000</v>
      </c>
      <c r="F10" s="70">
        <f t="shared" si="0"/>
        <v>22500</v>
      </c>
      <c r="G10" s="141"/>
    </row>
    <row r="11" spans="2:7" ht="21" customHeight="1">
      <c r="B11" s="61" t="s">
        <v>62</v>
      </c>
      <c r="C11" s="62" t="s">
        <v>108</v>
      </c>
      <c r="D11" s="62">
        <v>1</v>
      </c>
      <c r="E11" s="63">
        <v>5200</v>
      </c>
      <c r="F11" s="63">
        <f t="shared" si="0"/>
        <v>5200</v>
      </c>
      <c r="G11" s="140" t="s">
        <v>101</v>
      </c>
    </row>
    <row r="12" spans="2:7" ht="21" customHeight="1" thickBot="1">
      <c r="B12" s="64" t="s">
        <v>80</v>
      </c>
      <c r="C12" s="65" t="s">
        <v>81</v>
      </c>
      <c r="D12" s="65">
        <v>1</v>
      </c>
      <c r="E12" s="66">
        <v>4800</v>
      </c>
      <c r="F12" s="66">
        <f>E12*D12</f>
        <v>4800</v>
      </c>
      <c r="G12" s="144"/>
    </row>
    <row r="13" spans="2:7" ht="22.5">
      <c r="B13" s="46" t="s">
        <v>77</v>
      </c>
      <c r="C13" s="47" t="s">
        <v>109</v>
      </c>
      <c r="D13" s="47">
        <v>1</v>
      </c>
      <c r="E13" s="48">
        <v>42000</v>
      </c>
      <c r="F13" s="48">
        <f t="shared" si="0"/>
        <v>42000</v>
      </c>
      <c r="G13" s="142" t="s">
        <v>102</v>
      </c>
    </row>
    <row r="14" spans="2:7" ht="16.5" customHeight="1">
      <c r="B14" s="42" t="s">
        <v>78</v>
      </c>
      <c r="C14" s="39" t="s">
        <v>110</v>
      </c>
      <c r="D14" s="39">
        <v>1</v>
      </c>
      <c r="E14" s="40">
        <v>1500</v>
      </c>
      <c r="F14" s="40">
        <f t="shared" si="0"/>
        <v>1500</v>
      </c>
      <c r="G14" s="142"/>
    </row>
    <row r="15" spans="2:7" ht="16.5" customHeight="1" thickBot="1">
      <c r="B15" s="64" t="s">
        <v>79</v>
      </c>
      <c r="C15" s="65" t="s">
        <v>111</v>
      </c>
      <c r="D15" s="65">
        <v>1</v>
      </c>
      <c r="E15" s="66">
        <v>2500</v>
      </c>
      <c r="F15" s="66">
        <f t="shared" si="0"/>
        <v>2500</v>
      </c>
      <c r="G15" s="143"/>
    </row>
    <row r="16" spans="2:7" ht="16.5" customHeight="1">
      <c r="B16" s="61" t="s">
        <v>83</v>
      </c>
      <c r="C16" s="62" t="s">
        <v>94</v>
      </c>
      <c r="D16" s="62">
        <v>2</v>
      </c>
      <c r="E16" s="63">
        <v>1200</v>
      </c>
      <c r="F16" s="63">
        <f t="shared" si="0"/>
        <v>2400</v>
      </c>
      <c r="G16" s="138" t="s">
        <v>103</v>
      </c>
    </row>
    <row r="17" spans="2:7" ht="16.5" customHeight="1" thickBot="1">
      <c r="B17" s="64" t="s">
        <v>84</v>
      </c>
      <c r="C17" s="65" t="s">
        <v>93</v>
      </c>
      <c r="D17" s="65">
        <v>2</v>
      </c>
      <c r="E17" s="66">
        <v>900</v>
      </c>
      <c r="F17" s="66">
        <f t="shared" si="0"/>
        <v>1800</v>
      </c>
      <c r="G17" s="139"/>
    </row>
    <row r="18" spans="2:7" ht="16.5" customHeight="1">
      <c r="B18" s="61" t="s">
        <v>82</v>
      </c>
      <c r="C18" s="62" t="s">
        <v>93</v>
      </c>
      <c r="D18" s="62">
        <v>2</v>
      </c>
      <c r="E18" s="63">
        <v>2600</v>
      </c>
      <c r="F18" s="63">
        <f>E18*D18</f>
        <v>5200</v>
      </c>
      <c r="G18" s="138" t="s">
        <v>96</v>
      </c>
    </row>
    <row r="19" spans="2:7" ht="16.5" customHeight="1" thickBot="1">
      <c r="B19" s="64" t="s">
        <v>85</v>
      </c>
      <c r="C19" s="65" t="s">
        <v>94</v>
      </c>
      <c r="D19" s="65">
        <v>2</v>
      </c>
      <c r="E19" s="66">
        <v>1300</v>
      </c>
      <c r="F19" s="66">
        <f t="shared" si="0"/>
        <v>2600</v>
      </c>
      <c r="G19" s="139"/>
    </row>
    <row r="20" spans="2:7" ht="16.5" customHeight="1">
      <c r="B20" s="46" t="s">
        <v>86</v>
      </c>
      <c r="C20" s="47"/>
      <c r="D20" s="47">
        <v>1</v>
      </c>
      <c r="E20" s="48">
        <v>70000</v>
      </c>
      <c r="F20" s="48">
        <f t="shared" si="0"/>
        <v>70000</v>
      </c>
      <c r="G20" s="67"/>
    </row>
    <row r="21" spans="2:7" ht="16.5" customHeight="1">
      <c r="B21" s="42" t="s">
        <v>87</v>
      </c>
      <c r="C21" s="39"/>
      <c r="D21" s="39">
        <v>1</v>
      </c>
      <c r="E21" s="40">
        <v>15000</v>
      </c>
      <c r="F21" s="40">
        <f t="shared" si="0"/>
        <v>15000</v>
      </c>
      <c r="G21" s="60"/>
    </row>
    <row r="22" spans="2:7" ht="16.5" customHeight="1">
      <c r="B22" s="42" t="s">
        <v>88</v>
      </c>
      <c r="C22" s="39"/>
      <c r="D22" s="39">
        <v>2</v>
      </c>
      <c r="E22" s="40">
        <v>8000</v>
      </c>
      <c r="F22" s="40">
        <f t="shared" si="0"/>
        <v>16000</v>
      </c>
      <c r="G22" s="43" t="s">
        <v>89</v>
      </c>
    </row>
    <row r="23" spans="2:7" ht="22.5">
      <c r="B23" s="42" t="s">
        <v>97</v>
      </c>
      <c r="C23" s="39"/>
      <c r="D23" s="39">
        <v>1</v>
      </c>
      <c r="E23" s="40">
        <v>10000</v>
      </c>
      <c r="F23" s="40">
        <f t="shared" si="0"/>
        <v>10000</v>
      </c>
      <c r="G23" s="43" t="s">
        <v>98</v>
      </c>
    </row>
    <row r="24" spans="2:7" ht="19.5" customHeight="1" thickBot="1">
      <c r="B24" s="135" t="s">
        <v>90</v>
      </c>
      <c r="C24" s="136"/>
      <c r="D24" s="136"/>
      <c r="E24" s="137"/>
      <c r="F24" s="44">
        <f>SUM(F5:F23)</f>
        <v>276510</v>
      </c>
      <c r="G24" s="45"/>
    </row>
    <row r="27" ht="12.75">
      <c r="B27" s="38"/>
    </row>
    <row r="28" ht="12.75">
      <c r="B28" s="38"/>
    </row>
  </sheetData>
  <mergeCells count="11">
    <mergeCell ref="E3:F3"/>
    <mergeCell ref="G5:G7"/>
    <mergeCell ref="B3:B4"/>
    <mergeCell ref="D3:D4"/>
    <mergeCell ref="G3:G4"/>
    <mergeCell ref="B24:E24"/>
    <mergeCell ref="G16:G17"/>
    <mergeCell ref="G8:G10"/>
    <mergeCell ref="G18:G19"/>
    <mergeCell ref="G13:G15"/>
    <mergeCell ref="G11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</cp:lastModifiedBy>
  <cp:lastPrinted>2003-09-19T07:55:58Z</cp:lastPrinted>
  <dcterms:created xsi:type="dcterms:W3CDTF">1996-10-14T23:33:28Z</dcterms:created>
  <dcterms:modified xsi:type="dcterms:W3CDTF">2008-01-31T14:36:13Z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1626804812</vt:i4>
  </property>
  <property fmtid="{D5CDD505-2E9C-101B-9397-08002B2CF9AE}" pid="3" name="_EmailSubject">
    <vt:lpwstr>Myanmar incinerator</vt:lpwstr>
  </property>
  <property fmtid="{D5CDD505-2E9C-101B-9397-08002B2CF9AE}" pid="4" name="_AuthorEmail">
    <vt:lpwstr>bollenp.whomm@undp.org</vt:lpwstr>
  </property>
  <property fmtid="{D5CDD505-2E9C-101B-9397-08002B2CF9AE}" pid="5" name="_AuthorEmailDisplayName">
    <vt:lpwstr>Peter Bollen</vt:lpwstr>
  </property>
</Properties>
</file>